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updateLinks="never" defaultThemeVersion="166925"/>
  <mc:AlternateContent xmlns:mc="http://schemas.openxmlformats.org/markup-compatibility/2006">
    <mc:Choice Requires="x15">
      <x15ac:absPath xmlns:x15ac="http://schemas.microsoft.com/office/spreadsheetml/2010/11/ac" url="S:\Allen Planning Limited\ACTIVE\AP.23.050- Waterlooville Revised PD\revised Part MA 1 flat 2nd floor\nitrates bits\"/>
    </mc:Choice>
  </mc:AlternateContent>
  <xr:revisionPtr revIDLastSave="0" documentId="8_{CA880E87-1731-456E-9C8D-D33ED269C130}" xr6:coauthVersionLast="47" xr6:coauthVersionMax="47" xr10:uidLastSave="{00000000-0000-0000-0000-000000000000}"/>
  <bookViews>
    <workbookView xWindow="-120" yWindow="-120" windowWidth="29040" windowHeight="158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3" l="1"/>
  <c r="G40" i="3"/>
  <c r="E40" i="3"/>
  <c r="G43" i="3"/>
  <c r="E43" i="3"/>
  <c r="G48" i="3"/>
  <c r="E48" i="3"/>
  <c r="G49" i="3"/>
  <c r="E49" i="3"/>
  <c r="G68" i="3"/>
  <c r="E68" i="3"/>
  <c r="G79" i="3"/>
  <c r="E79" i="3"/>
  <c r="G18" i="8"/>
  <c r="G19" i="8"/>
  <c r="G20" i="8"/>
  <c r="G21" i="8"/>
  <c r="G22" i="8"/>
  <c r="G23" i="8"/>
  <c r="G24" i="8"/>
  <c r="G25" i="8"/>
  <c r="G26" i="8"/>
  <c r="G27" i="8"/>
  <c r="G28" i="8"/>
  <c r="G29" i="8"/>
  <c r="G30" i="8"/>
  <c r="G31" i="8"/>
  <c r="G10" i="3"/>
  <c r="G11" i="3"/>
  <c r="G12" i="3"/>
  <c r="G13" i="3"/>
  <c r="G14" i="3"/>
  <c r="G15" i="3"/>
  <c r="G16" i="3"/>
  <c r="G17" i="3"/>
  <c r="G18" i="3"/>
  <c r="G19" i="3"/>
  <c r="G20" i="3"/>
  <c r="G10" i="7" s="1"/>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l="1"/>
  <c r="D15" i="7"/>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G17" i="8" l="1"/>
  <c r="E17" i="8"/>
  <c r="E28" i="8"/>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<sst xmlns="http://schemas.openxmlformats.org/spreadsheetml/2006/main" count="2525" uniqueCount="343">
  <si>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</si>
  <si>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</si>
  <si>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</si>
  <si>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</si>
  <si>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</si>
  <si>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</si>
  <si>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</si>
  <si>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</si>
  <si>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</si>
  <si>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</si>
  <si>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</si>
  <si>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</si>
  <si>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</si>
  <si>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</si>
  <si>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</si>
  <si>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</si>
  <si>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</si>
  <si>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</si>
  <si>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</si>
  <si>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</si>
  <si>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</si>
  <si>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</si>
  <si>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</si>
  <si>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</si>
  <si>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</si>
  <si>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</si>
  <si>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</si>
  <si>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</si>
  <si>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</si>
  <si>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</si>
  <si>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</si>
  <si>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</si>
  <si>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</si>
  <si>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</si>
  <si>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</si>
  <si>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</si>
  <si>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</si>
  <si>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</si>
  <si>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</si>
  <si>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</si>
  <si>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</si>
  <si>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</si>
  <si>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</si>
  <si>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</si>
  <si>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</si>
  <si>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</si>
  <si>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</si>
  <si>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</si>
  <si>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</si>
  <si>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</si>
  <si>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</si>
  <si>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</si>
  <si>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</si>
  <si>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</si>
  <si>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</si>
  <si>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</si>
  <si>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</si>
  <si>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</si>
  <si>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</si>
  <si>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</si>
  <si>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</si>
  <si>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</si>
  <si>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</si>
  <si>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</si>
  <si>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</si>
  <si>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</si>
  <si>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</si>
  <si>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</si>
  <si>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</si>
  <si>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</si>
  <si>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</si>
  <si>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</si>
  <si>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</si>
  <si>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</si>
  <si>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</si>
  <si>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</si>
  <si>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</si>
  <si>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</si>
  <si>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</si>
  <si>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</si>
  <si>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</si>
  <si>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</si>
  <si>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</si>
  <si>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</si>
  <si>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</si>
  <si>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</si>
  <si>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</si>
  <si>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</si>
  <si>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</si>
  <si>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</si>
  <si>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</si>
  <si>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</si>
  <si>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</si>
  <si>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</si>
  <si>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</si>
  <si>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</si>
  <si>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</si>
  <si>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</si>
  <si>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</si>
  <si>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</si>
  <si>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</si>
  <si>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</si>
  <si>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</si>
  <si>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</si>
  <si>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</si>
  <si>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</si>
  <si>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</si>
  <si>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</si>
  <si>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</si>
  <si>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</si>
  <si>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</si>
  <si>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</si>
  <si>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</si>
  <si>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</si>
  <si>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</si>
  <si>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</si>
  <si>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</si>
  <si>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</si>
  <si>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</si>
  <si>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</si>
  <si>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</si>
  <si>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</si>
  <si>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</si>
  <si>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</si>
  <si>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</si>
  <si>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</si>
  <si>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</si>
  <si>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</si>
  <si>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</si>
  <si>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</si>
  <si>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</si>
  <si>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</si>
  <si>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</si>
  <si>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</si>
  <si>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</si>
  <si>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</si>
  <si>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</si>
  <si>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</si>
  <si>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</si>
  <si>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</si>
  <si>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</si>
  <si>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</si>
  <si>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</si>
  <si>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</si>
  <si>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</si>
  <si>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</si>
  <si>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</si>
  <si>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</si>
  <si>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</si>
  <si>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</si>
  <si>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</si>
  <si>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</si>
  <si>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</si>
  <si>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</si>
  <si>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</si>
  <si>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</si>
  <si>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</si>
  <si>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</si>
  <si>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</si>
  <si>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</si>
  <si>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</si>
  <si>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</si>
  <si>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</si>
  <si>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</si>
  <si>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</si>
  <si>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</si>
  <si>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</si>
  <si>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</si>
  <si>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</si>
  <si>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</si>
  <si>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</si>
  <si>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</si>
  <si>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</si>
  <si>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</si>
  <si>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</si>
  <si>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</si>
  <si>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</si>
  <si>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</si>
  <si>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</si>
  <si>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</si>
  <si>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</si>
  <si>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</si>
  <si>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</si>
  <si>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</si>
  <si>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</si>
  <si>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</si>
  <si>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</si>
  <si>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</si>
  <si>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</si>
  <si>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</si>
  <si>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</si>
  <si>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</si>
  <si>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</si>
  <si>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</si>
  <si>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</si>
  <si>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</si>
  <si>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</si>
  <si>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</si>
  <si>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</si>
  <si>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</si>
  <si>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</si>
  <si>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</si>
  <si>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</si>
  <si>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</si>
  <si>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</si>
  <si>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</si>
  <si>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</si>
  <si>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</si>
  <si>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</si>
  <si>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</si>
  <si>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</si>
  <si>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</si>
  <si>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</si>
  <si>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</si>
  <si>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</si>
  <si>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</si>
  <si>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</si>
  <si>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</si>
  <si>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</si>
  <si>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</si>
  <si>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</si>
  <si>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</si>
  <si>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</si>
  <si>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</si>
  <si>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</si>
  <si>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</si>
  <si>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</si>
  <si>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</si>
  <si>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</si>
  <si>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</si>
  <si>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</si>
  <si>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</si>
  <si>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</si>
  <si>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</si>
  <si>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</si>
  <si>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</si>
  <si>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</si>
  <si>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</si>
  <si>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</si>
  <si>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</si>
  <si>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</si>
  <si>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</si>
  <si>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</si>
  <si>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</si>
  <si>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</si>
  <si>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</si>
  <si>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</si>
  <si>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</si>
  <si>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</si>
  <si>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</si>
  <si>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</si>
  <si>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</si>
  <si>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</si>
  <si>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</si>
  <si>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</si>
  <si>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</si>
  <si>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</si>
  <si>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</si>
  <si>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</si>
  <si>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</si>
  <si>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</si>
  <si>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</si>
  <si>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</si>
  <si>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</si>
  <si>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</si>
  <si>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</si>
  <si>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</si>
  <si>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</si>
  <si>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</si>
  <si>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</si>
  <si>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</si>
  <si>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</si>
  <si>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</si>
  <si>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</si>
  <si>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</si>
  <si>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</si>
  <si>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</si>
  <si>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</si>
  <si>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</si>
  <si>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</si>
  <si>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</si>
  <si>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</si>
  <si>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</si>
  <si>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</si>
  <si>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</si>
  <si>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</si>
  <si>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</si>
  <si>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</si>
  <si>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</si>
  <si>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</si>
  <si>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</si>
  <si>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</si>
  <si>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</si>
  <si>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</si>
  <si>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</si>
  <si>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</si>
  <si>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</si>
  <si>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</si>
  <si>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</si>
  <si>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</si>
  <si>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</si>
  <si>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</si>
  <si>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</si>
  <si>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</si>
  <si>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</si>
  <si>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</si>
  <si>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</si>
  <si>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</si>
  <si>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</si>
  <si>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</si>
  <si>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</si>
  <si>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</si>
  <si>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</si>
  <si>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</si>
  <si>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</si>
  <si>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</si>
  <si>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</si>
  <si>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</si>
  <si>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</si>
  <si>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</si>
  <si>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</si>
  <si>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</si>
  <si>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</si>
  <si>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</si>
  <si>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</si>
  <si>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</si>
  <si>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</si>
  <si>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</si>
  <si>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</si>
  <si>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</si>
  <si>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</si>
  <si>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</si>
  <si>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</si>
  <si>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</si>
  <si>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</si>
  <si>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</si>
  <si>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</si>
  <si>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</si>
  <si>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</si>
  <si>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</si>
  <si>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08.08.2023</t>
  </si>
  <si>
    <t>286-288 London Road Waterlooville</t>
  </si>
  <si>
    <t>23/00528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</si>
</sst>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6"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13"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N10" sqref="N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t="s">
        <v>340</v>
      </c>
      <c r="E7" s="259"/>
      <c r="F7" s="259"/>
      <c r="G7" s="259"/>
      <c r="H7" s="259"/>
      <c r="I7" s="259"/>
      <c r="J7" s="259"/>
      <c r="K7" s="259"/>
      <c r="L7" s="135"/>
      <c r="M7" s="131"/>
    </row>
    <row r="8" spans="2:13" ht="35.25" customHeight="1" thickBot="1" x14ac:dyDescent="0.3">
      <c r="B8" s="122"/>
      <c r="C8" s="50" t="s">
        <v>74</v>
      </c>
      <c r="D8" s="260" t="s">
        <v>341</v>
      </c>
      <c r="E8" s="260"/>
      <c r="F8" s="260"/>
      <c r="G8" s="260"/>
      <c r="H8" s="260"/>
      <c r="I8" s="260"/>
      <c r="J8" s="260"/>
      <c r="K8" s="260"/>
      <c r="L8" s="134"/>
    </row>
    <row r="9" spans="2:13" ht="39.75" customHeight="1" thickBot="1" x14ac:dyDescent="0.3">
      <c r="B9" s="122"/>
      <c r="C9" s="138" t="s">
        <v>75</v>
      </c>
      <c r="D9" s="260" t="s">
        <v>342</v>
      </c>
      <c r="E9" s="260"/>
      <c r="F9" s="260"/>
      <c r="G9" s="260"/>
      <c r="H9" s="260"/>
      <c r="I9" s="260"/>
      <c r="J9" s="260"/>
      <c r="K9" s="260"/>
      <c r="L9" s="136"/>
    </row>
    <row r="10" spans="2:13" ht="97.5" customHeight="1" x14ac:dyDescent="0.25">
      <c r="B10" s="122"/>
      <c r="C10" s="139" t="s">
        <v>76</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v>45323</v>
      </c>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1.4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168</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1164.2400000000002</v>
      </c>
      <c r="E27" s="27" t="s">
        <v>96</v>
      </c>
      <c r="F27" s="1"/>
      <c r="G27" s="83"/>
      <c r="H27" s="81"/>
      <c r="I27" s="81"/>
      <c r="J27" s="144"/>
    </row>
    <row r="28" spans="1:14" ht="15.75" hidden="1" thickBot="1" x14ac:dyDescent="0.3">
      <c r="A28" s="149"/>
      <c r="B28" s="1"/>
      <c r="C28" s="26" t="s">
        <v>97</v>
      </c>
      <c r="D28" s="51">
        <f>IFERROR($D$27/1000000,"")</f>
        <v>1.1642400000000002E-3</v>
      </c>
      <c r="E28" s="27" t="s">
        <v>98</v>
      </c>
      <c r="F28" s="1"/>
      <c r="G28" s="83"/>
      <c r="H28" s="87"/>
      <c r="I28" s="84"/>
      <c r="J28" s="144"/>
    </row>
    <row r="29" spans="1:14" ht="15.75" hidden="1" thickBot="1" x14ac:dyDescent="0.3">
      <c r="A29" s="149"/>
      <c r="B29" s="1"/>
      <c r="C29" s="54" t="s">
        <v>99</v>
      </c>
      <c r="D29" s="56">
        <f>IFERROR($D$28*365.25,"")</f>
        <v>0.42523866000000005</v>
      </c>
      <c r="E29" s="27" t="s">
        <v>100</v>
      </c>
      <c r="F29" s="1"/>
      <c r="G29" s="83"/>
      <c r="H29" s="88"/>
      <c r="I29" s="84"/>
      <c r="J29" s="144"/>
    </row>
    <row r="30" spans="1:14" hidden="1" x14ac:dyDescent="0.25">
      <c r="A30" s="149"/>
      <c r="B30" s="1"/>
      <c r="C30" s="55" t="s">
        <v>101</v>
      </c>
      <c r="D30" s="57">
        <f>D29</f>
        <v>0.42523866000000005</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1164.2400000000002</v>
      </c>
      <c r="E33" s="27" t="s">
        <v>103</v>
      </c>
      <c r="F33" s="1"/>
      <c r="G33" s="83"/>
      <c r="H33" s="87"/>
      <c r="I33" s="84"/>
      <c r="J33" s="144"/>
    </row>
    <row r="34" spans="1:10" ht="15.75" hidden="1" thickBot="1" x14ac:dyDescent="0.3">
      <c r="A34" s="149"/>
      <c r="B34" s="1"/>
      <c r="C34" s="58" t="s">
        <v>104</v>
      </c>
      <c r="D34" s="59">
        <f>IFERROR($D$33/1000000,"")</f>
        <v>1.1642400000000002E-3</v>
      </c>
      <c r="E34" s="27" t="s">
        <v>105</v>
      </c>
      <c r="F34" s="1"/>
      <c r="G34" s="83"/>
      <c r="H34" s="87"/>
      <c r="I34" s="84"/>
      <c r="J34" s="144"/>
    </row>
    <row r="35" spans="1:10" ht="15.75" hidden="1" thickBot="1" x14ac:dyDescent="0.3">
      <c r="A35" s="149"/>
      <c r="B35" s="1"/>
      <c r="C35" s="58" t="s">
        <v>106</v>
      </c>
      <c r="D35" s="60">
        <f>IFERROR($D$34*365.25,"")</f>
        <v>0.42523866000000005</v>
      </c>
      <c r="E35" s="27" t="s">
        <v>107</v>
      </c>
      <c r="F35" s="1"/>
      <c r="G35" s="83"/>
      <c r="H35" s="88"/>
      <c r="I35" s="84"/>
      <c r="J35" s="144"/>
    </row>
    <row r="36" spans="1:10" x14ac:dyDescent="0.25">
      <c r="A36" s="149"/>
      <c r="B36" s="1"/>
      <c r="C36" s="55" t="s">
        <v>108</v>
      </c>
      <c r="D36" s="57">
        <f>D35</f>
        <v>0.42523866000000005</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7" sqref="D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113</v>
      </c>
      <c r="F10" s="1"/>
      <c r="G10" s="1"/>
      <c r="H10" s="136"/>
    </row>
    <row r="11" spans="1:11" ht="15.75" thickBot="1" x14ac:dyDescent="0.3">
      <c r="A11" s="128"/>
      <c r="B11" s="1"/>
      <c r="C11" s="270" t="s">
        <v>114</v>
      </c>
      <c r="D11" s="270"/>
      <c r="E11" s="97" t="s">
        <v>299</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t="s">
        <v>330</v>
      </c>
      <c r="D17" s="220">
        <v>0.13880000000000001</v>
      </c>
      <c r="E17" s="219">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0.91095610553537576</v>
      </c>
      <c r="F17" s="1"/>
      <c r="G17" s="222">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0.91095610553537576</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0.13880000000000001</v>
      </c>
      <c r="E32" s="213">
        <f>SUM(E15:E31)</f>
        <v>0.91095610553537576</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9" zoomScaleNormal="100" workbookViewId="0">
      <selection activeCell="D12" sqref="D12"/>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5.1999999999999998E-3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6.3990072254826461E-2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t="s">
        <v>330</v>
      </c>
      <c r="D12" s="100">
        <v>0.1336</v>
      </c>
      <c r="E12" s="163">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0.87682806699946825</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0.13880000000000001</v>
      </c>
      <c r="E27" s="94">
        <f>SUM(E10:E26)</f>
        <v>0.94081813925429469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topLeftCell="A2"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0.42523866000000005</v>
      </c>
      <c r="E11" s="21"/>
      <c r="F11" s="1"/>
      <c r="G11" s="1"/>
      <c r="H11" s="112"/>
    </row>
    <row r="12" spans="2:12" ht="15.75" hidden="1" thickBot="1" x14ac:dyDescent="0.3">
      <c r="B12" s="122"/>
      <c r="C12" s="64" t="s">
        <v>130</v>
      </c>
      <c r="D12" s="92">
        <f>'Stage 3'!E27-'Stage 2'!E32</f>
        <v>2.9862033718918934E-2</v>
      </c>
      <c r="E12" s="21"/>
      <c r="F12" s="1"/>
      <c r="G12" s="1"/>
      <c r="H12" s="112"/>
    </row>
    <row r="13" spans="2:12" ht="15.75" hidden="1" thickBot="1" x14ac:dyDescent="0.3">
      <c r="B13" s="122"/>
      <c r="C13" s="62" t="s">
        <v>131</v>
      </c>
      <c r="D13" s="80">
        <f>D11+D12</f>
        <v>0.45510069371891898</v>
      </c>
      <c r="E13" s="18"/>
      <c r="F13" s="1"/>
      <c r="G13" s="1"/>
      <c r="H13" s="112"/>
    </row>
    <row r="14" spans="2:12" hidden="1" x14ac:dyDescent="0.25">
      <c r="B14" s="122"/>
      <c r="C14" s="15" t="s">
        <v>132</v>
      </c>
      <c r="D14" s="91">
        <f>D13*1.2</f>
        <v>0.54612083246270271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0.55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0.42523866000000005</v>
      </c>
      <c r="D15" s="21"/>
      <c r="E15" s="276" t="s">
        <v>142</v>
      </c>
    </row>
    <row r="16" spans="2:11" ht="16.5" thickTop="1" thickBot="1" x14ac:dyDescent="0.3">
      <c r="B16" s="15" t="s">
        <v>130</v>
      </c>
      <c r="C16" s="22">
        <f>'Stage 3'!E27-'Stage 2'!E32</f>
        <v>2.9862033718918934E-2</v>
      </c>
      <c r="D16" s="21"/>
      <c r="E16" s="276"/>
    </row>
    <row r="17" spans="2:6" ht="16.5" thickTop="1" thickBot="1" x14ac:dyDescent="0.3">
      <c r="B17" s="16" t="s">
        <v>131</v>
      </c>
      <c r="C17" s="47">
        <f>C15+C16</f>
        <v>0.45510069371891898</v>
      </c>
      <c r="D17" s="18"/>
      <c r="E17" s="276"/>
    </row>
    <row r="18" spans="2:6" ht="15.75" thickTop="1" x14ac:dyDescent="0.25">
      <c r="B18" s="17" t="s">
        <v>132</v>
      </c>
      <c r="C18" s="48">
        <f>C17*1.2</f>
        <v>0.54612083246270271</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0.42523866000000005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0.54612083246270271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0.42605138186280683</v>
      </c>
      <c r="J611" s="167">
        <f>IFERROR(VLOOKUP((VLOOKUP('Stage 2'!$E$9,Lookups!$C$647:$D$656,2,FALSE)&amp;"|"&amp;"General"&amp;"|"&amp;"FALSE"&amp;"|"&amp;VLOOKUP('Stage 2'!$E$11,Lookups!$C$621:$E$643,3,FALSE)&amp;"|"&amp;"FreeDrain"),$H$93:$O$353,3,FALSE), IFERROR(VLOOKUP("General"&amp;"|"&amp;VLOOKUP('Stage 2'!$E$11,Lookups!$C$621:$E$643,3,FALSE),$K$93:$O$353,3,FALSE),VLOOKUP("General",D93:O353,12,FALSE)))</f>
        <v>16.419173411450149</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1.3199174036773855</v>
      </c>
      <c r="J615" s="34">
        <f>VLOOKUP('Stage 2'!E11,Lookups!C621:K643,9,FALSE)</f>
        <v>12.305783125928167</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0.96579322220296504</v>
      </c>
      <c r="J616" s="34">
        <f>VLOOKUP('Stage 2'!E11,Lookups!C621:M643,10,FALSE)</f>
        <v>6.5630843338283551</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0.70824836294884108</v>
      </c>
      <c r="J617" s="34">
        <f>VLOOKUP('Stage 2'!E11,Lookups!C621:P643,11,FALSE)</f>
        <v>7.2539353163366025</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Tony Allen</cp:lastModifiedBy>
  <cp:revision/>
  <dcterms:created xsi:type="dcterms:W3CDTF">2021-10-14T13:24:34Z</dcterms:created>
  <dcterms:modified xsi:type="dcterms:W3CDTF">2023-08-11T09:06:52Z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