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updateLinks="never" defaultThemeVersion="166925"/>
  <mc:AlternateContent xmlns:mc="http://schemas.openxmlformats.org/markup-compatibility/2006">
    <mc:Choice Requires="x15">
      <x15ac:absPath xmlns:x15ac="http://schemas.microsoft.com/office/spreadsheetml/2010/11/ac" url="G:\Shared drives\Ecosupport LTD - SHARED DRIVE B\Maddie\4. BNG and NUTRIENT NEUTRALITY\Fathom's Reach, Hayling Island\"/>
    </mc:Choice>
  </mc:AlternateContent>
  <xr:revisionPtr revIDLastSave="0" documentId="13_ncr:1_{143F0B45-7D59-46EE-88A7-2B5FBD332A65}"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25440" windowHeight="15390" firstSheet="5" activeTab="6"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I607" i="3"/>
  <c r="E15" i="8" l="1"/>
  <c r="G15" i="8"/>
  <c r="E10" i="9"/>
  <c r="E18" i="9"/>
  <c r="E17" i="9"/>
  <c r="E27" i="8"/>
  <c r="F16" i="10"/>
  <c r="F24" i="10"/>
  <c r="F17" i="10"/>
  <c r="G23" i="7"/>
  <c r="G21" i="7"/>
  <c r="C21" i="7"/>
  <c r="F16" i="7"/>
  <c r="H16" i="7"/>
  <c r="H15" i="7"/>
  <c r="F15" i="7"/>
  <c r="G15" i="7"/>
  <c r="G16" i="7"/>
  <c r="I23" i="7"/>
  <c r="D23" i="7"/>
  <c r="D24" i="7" s="1"/>
  <c r="D33" i="7" l="1"/>
  <c r="D27" i="7"/>
  <c r="J609" i="3"/>
  <c r="E14" i="9" s="1"/>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<sst xmlns="http://schemas.openxmlformats.org/spreadsheetml/2006/main" count="2512" uniqueCount="333">
  <si>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</si>
  <si>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</si>
  <si>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</si>
  <si>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</si>
  <si>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</si>
  <si>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</si>
  <si>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</si>
  <si>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</si>
  <si>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</si>
  <si>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</si>
  <si>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</si>
  <si>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</si>
  <si>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</si>
  <si>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</si>
  <si>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</si>
  <si>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</si>
  <si>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</si>
  <si>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</si>
  <si>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</si>
  <si>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</si>
  <si>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</si>
  <si>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</si>
  <si>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</si>
  <si>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</si>
  <si>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</si>
  <si>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</si>
  <si>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</si>
  <si>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</si>
  <si>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</si>
  <si>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</si>
  <si>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</si>
  <si>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</si>
  <si>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</si>
  <si>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</si>
  <si>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</si>
  <si>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</si>
  <si>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</si>
  <si>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</si>
  <si>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</si>
  <si>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</si>
  <si>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</si>
  <si>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</si>
  <si>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</si>
  <si>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</si>
  <si>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</si>
  <si>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</si>
  <si>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</si>
  <si>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</si>
  <si>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</si>
  <si>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</si>
  <si>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</si>
  <si>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</si>
  <si>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</si>
  <si>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</si>
  <si>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</si>
  <si>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</si>
  <si>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</si>
  <si>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</si>
  <si>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</si>
  <si>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</si>
  <si>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</si>
  <si>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</si>
  <si>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</si>
  <si>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</si>
  <si>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</si>
  <si>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</si>
  <si>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</si>
  <si>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</si>
  <si>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</si>
  <si>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</si>
  <si>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</si>
  <si>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</si>
  <si>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</si>
  <si>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</si>
  <si>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</si>
  <si>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</si>
  <si>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</si>
  <si>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</si>
  <si>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</si>
  <si>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</si>
  <si>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</si>
  <si>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</si>
  <si>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</si>
  <si>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</si>
  <si>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</si>
  <si>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</si>
  <si>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</si>
  <si>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</si>
  <si>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</si>
  <si>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</si>
  <si>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</si>
  <si>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</si>
  <si>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</si>
  <si>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</si>
  <si>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</si>
  <si>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</si>
  <si>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</si>
  <si>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</si>
  <si>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</si>
  <si>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</si>
  <si>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</si>
  <si>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</si>
  <si>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</si>
  <si>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</si>
  <si>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</si>
  <si>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</si>
  <si>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</si>
  <si>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</si>
  <si>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</si>
  <si>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</si>
  <si>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</si>
  <si>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</si>
  <si>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</si>
  <si>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</si>
  <si>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</si>
  <si>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</si>
  <si>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</si>
  <si>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</si>
  <si>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</si>
  <si>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</si>
  <si>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</si>
  <si>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</si>
  <si>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</si>
  <si>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</si>
  <si>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</si>
  <si>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</si>
  <si>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</si>
  <si>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</si>
  <si>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</si>
  <si>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</si>
  <si>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</si>
  <si>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</si>
  <si>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</si>
  <si>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</si>
  <si>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</si>
  <si>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</si>
  <si>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</si>
  <si>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</si>
  <si>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</si>
  <si>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</si>
  <si>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</si>
  <si>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</si>
  <si>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</si>
  <si>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</si>
  <si>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</si>
  <si>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</si>
  <si>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</si>
  <si>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</si>
  <si>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</si>
  <si>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</si>
  <si>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</si>
  <si>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</si>
  <si>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</si>
  <si>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</si>
  <si>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</si>
  <si>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</si>
  <si>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</si>
  <si>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</si>
  <si>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</si>
  <si>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</si>
  <si>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</si>
  <si>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</si>
  <si>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</si>
  <si>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</si>
  <si>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</si>
  <si>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</si>
  <si>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</si>
  <si>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</si>
  <si>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</si>
  <si>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</si>
  <si>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</si>
  <si>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</si>
  <si>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</si>
  <si>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</si>
  <si>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</si>
  <si>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</si>
  <si>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</si>
  <si>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</si>
  <si>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</si>
  <si>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</si>
  <si>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</si>
  <si>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</si>
  <si>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</si>
  <si>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</si>
  <si>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</si>
  <si>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</si>
  <si>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</si>
  <si>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</si>
  <si>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</si>
  <si>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</si>
  <si>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</si>
  <si>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</si>
  <si>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</si>
  <si>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</si>
  <si>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</si>
  <si>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</si>
  <si>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</si>
  <si>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</si>
  <si>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</si>
  <si>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</si>
  <si>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</si>
  <si>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</si>
  <si>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</si>
  <si>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</si>
  <si>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</si>
  <si>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</si>
  <si>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</si>
  <si>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</si>
  <si>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</si>
  <si>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</si>
  <si>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</si>
  <si>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</si>
  <si>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</si>
  <si>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</si>
  <si>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</si>
  <si>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</si>
  <si>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</si>
  <si>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</si>
  <si>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</si>
  <si>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</si>
  <si>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</si>
  <si>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</si>
  <si>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</si>
  <si>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</si>
  <si>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</si>
  <si>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</si>
  <si>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</si>
  <si>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</si>
  <si>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</si>
  <si>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</si>
  <si>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</si>
  <si>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</si>
  <si>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</si>
  <si>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</si>
  <si>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</si>
  <si>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</si>
  <si>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</si>
  <si>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</si>
  <si>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</si>
  <si>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</si>
  <si>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</si>
  <si>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</si>
  <si>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</si>
  <si>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</si>
  <si>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</si>
  <si>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</si>
  <si>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</si>
  <si>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</si>
  <si>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</si>
  <si>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</si>
  <si>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</si>
  <si>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</si>
  <si>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</si>
  <si>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</si>
  <si>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</si>
  <si>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</si>
  <si>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</si>
  <si>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</si>
  <si>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</si>
  <si>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</si>
  <si>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</si>
  <si>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</si>
  <si>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</si>
  <si>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</si>
  <si>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</si>
  <si>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</si>
  <si>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</si>
  <si>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</si>
  <si>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</si>
  <si>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</si>
  <si>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</si>
  <si>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</si>
  <si>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</si>
  <si>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</si>
  <si>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</si>
  <si>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</si>
  <si>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</si>
  <si>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</si>
  <si>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</si>
  <si>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</si>
  <si>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</si>
  <si>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</si>
  <si>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</si>
  <si>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</si>
  <si>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</si>
  <si>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</si>
  <si>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</si>
  <si>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</si>
  <si>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</si>
  <si>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</si>
  <si>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</si>
  <si>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</si>
  <si>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</si>
  <si>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</si>
  <si>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</si>
  <si>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</si>
  <si>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</si>
  <si>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</si>
  <si>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</si>
  <si>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</si>
  <si>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</si>
  <si>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</si>
  <si>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</si>
  <si>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</si>
  <si>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</si>
  <si>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</si>
  <si>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</si>
  <si>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</si>
  <si>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</si>
  <si>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</si>
  <si>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</si>
  <si>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</si>
  <si>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</si>
  <si>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</si>
  <si>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</si>
  <si>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</si>
  <si>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</si>
  <si>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</si>
  <si>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</si>
  <si>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</si>
  <si>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</si>
  <si>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</si>
  <si>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</si>
  <si>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</si>
  <si>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</si>
  <si>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</si>
  <si>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</si>
  <si>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</si>
  <si>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</si>
  <si>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</si>
  <si>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</si>
  <si>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Land East of Fathom's Reach, Hayling Island</t>
  </si>
  <si>
    <t>Fathom’s Reach, Hayling Island, PO11 0RR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</si>
</sst>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1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4"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0" zoomScale="90" zoomScaleNormal="90" workbookViewId="0">
      <selection activeCell="B78" sqref="B78:M7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44727</v>
      </c>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c r="E9" s="260"/>
      <c r="F9" s="260"/>
      <c r="G9" s="260"/>
      <c r="H9" s="260"/>
      <c r="I9" s="260"/>
      <c r="J9" s="260"/>
      <c r="K9" s="260"/>
      <c r="L9" s="136"/>
    </row>
    <row r="10" spans="2:13" ht="97.5" customHeight="1" x14ac:dyDescent="0.25">
      <c r="B10" s="122"/>
      <c r="C10" s="139" t="s">
        <v>74</v>
      </c>
      <c r="D10" s="261" t="s">
        <v>332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9" sqref="D9"/>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c r="E9" s="1"/>
      <c r="F9" s="1"/>
      <c r="G9" s="1"/>
      <c r="H9" s="74"/>
      <c r="I9" s="3"/>
      <c r="J9" s="141"/>
      <c r="L9" s="147"/>
    </row>
    <row r="10" spans="1:12" ht="21" customHeight="1" thickBot="1" x14ac:dyDescent="0.4">
      <c r="A10" s="149"/>
      <c r="B10" s="1"/>
      <c r="C10" s="62" t="s">
        <v>78</v>
      </c>
      <c r="D10" s="102">
        <v>2.4</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46</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110.39999999999999</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13247.999999999998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91808.639999999999</v>
      </c>
      <c r="E27" s="27" t="s">
        <v>92</v>
      </c>
      <c r="F27" s="1"/>
      <c r="G27" s="83"/>
      <c r="H27" s="81"/>
      <c r="I27" s="81"/>
      <c r="J27" s="144"/>
    </row>
    <row r="28" spans="1:14" ht="15.75" hidden="1" thickBot="1" x14ac:dyDescent="0.3">
      <c r="A28" s="149"/>
      <c r="B28" s="1"/>
      <c r="C28" s="26" t="s">
        <v>93</v>
      </c>
      <c r="D28" s="51">
        <f>IFERROR($D$27/1000000,"")</f>
        <v>9.1808639999999997E-2</v>
      </c>
      <c r="E28" s="27" t="s">
        <v>94</v>
      </c>
      <c r="F28" s="1"/>
      <c r="G28" s="83"/>
      <c r="H28" s="87"/>
      <c r="I28" s="84"/>
      <c r="J28" s="144"/>
    </row>
    <row r="29" spans="1:14" ht="15.75" hidden="1" thickBot="1" x14ac:dyDescent="0.3">
      <c r="A29" s="149"/>
      <c r="B29" s="1"/>
      <c r="C29" s="54" t="s">
        <v>95</v>
      </c>
      <c r="D29" s="56">
        <f>IFERROR($D$28*365.25,"")</f>
        <v>33.533105759999998</v>
      </c>
      <c r="E29" s="27" t="s">
        <v>96</v>
      </c>
      <c r="F29" s="1"/>
      <c r="G29" s="83"/>
      <c r="H29" s="88"/>
      <c r="I29" s="84"/>
      <c r="J29" s="144"/>
    </row>
    <row r="30" spans="1:14" hidden="1" x14ac:dyDescent="0.25">
      <c r="A30" s="149"/>
      <c r="B30" s="1"/>
      <c r="C30" s="55" t="s">
        <v>97</v>
      </c>
      <c r="D30" s="57">
        <f>D29</f>
        <v>33.533105759999998</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91808.639999999999</v>
      </c>
      <c r="E33" s="27" t="s">
        <v>99</v>
      </c>
      <c r="F33" s="1"/>
      <c r="G33" s="83"/>
      <c r="H33" s="87"/>
      <c r="I33" s="84"/>
      <c r="J33" s="144"/>
    </row>
    <row r="34" spans="1:10" ht="15.75" hidden="1" thickBot="1" x14ac:dyDescent="0.3">
      <c r="A34" s="149"/>
      <c r="B34" s="1"/>
      <c r="C34" s="58" t="s">
        <v>100</v>
      </c>
      <c r="D34" s="59">
        <f>IFERROR($D$33/1000000,"")</f>
        <v>9.1808639999999997E-2</v>
      </c>
      <c r="E34" s="27" t="s">
        <v>101</v>
      </c>
      <c r="F34" s="1"/>
      <c r="G34" s="83"/>
      <c r="H34" s="87"/>
      <c r="I34" s="84"/>
      <c r="J34" s="144"/>
    </row>
    <row r="35" spans="1:10" ht="15.75" hidden="1" thickBot="1" x14ac:dyDescent="0.3">
      <c r="A35" s="149"/>
      <c r="B35" s="1"/>
      <c r="C35" s="58" t="s">
        <v>102</v>
      </c>
      <c r="D35" s="60">
        <f>IFERROR($D$34*365.25,"")</f>
        <v>33.533105759999998</v>
      </c>
      <c r="E35" s="27" t="s">
        <v>103</v>
      </c>
      <c r="F35" s="1"/>
      <c r="G35" s="83"/>
      <c r="H35" s="88"/>
      <c r="I35" s="84"/>
      <c r="J35" s="144"/>
    </row>
    <row r="36" spans="1:10" x14ac:dyDescent="0.25">
      <c r="A36" s="149"/>
      <c r="B36" s="1"/>
      <c r="C36" s="55" t="s">
        <v>104</v>
      </c>
      <c r="D36" s="57">
        <f>D35</f>
        <v>33.533105759999998</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disablePrompts="1"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disablePrompts="1"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abSelected="1" zoomScaleNormal="100" workbookViewId="0">
      <selection activeCell="E9" sqref="E9"/>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18" thickBot="1" x14ac:dyDescent="0.3">
      <c r="A9" s="128"/>
      <c r="B9" s="1"/>
      <c r="C9" s="269" t="s">
        <v>106</v>
      </c>
      <c r="D9" s="269"/>
      <c r="E9" s="209"/>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286</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0.12</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1.5348823835939278</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5" s="150"/>
      <c r="I15" s="151"/>
      <c r="J15" s="151"/>
      <c r="K15" s="151"/>
    </row>
    <row r="16" spans="1:11" x14ac:dyDescent="0.25">
      <c r="A16" s="128"/>
      <c r="B16" s="1"/>
      <c r="C16" s="217" t="s">
        <v>259</v>
      </c>
      <c r="D16" s="220">
        <v>1.66</v>
      </c>
      <c r="E16" s="219">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4.9799999999999995</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1.7799999999999998</v>
      </c>
      <c r="E32" s="213">
        <f>SUM(E15:E31)</f>
        <v>6.5148823835939274</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454" yWindow="388"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454" yWindow="388"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90" zoomScaleNormal="90" workbookViewId="0">
      <selection activeCell="C12" sqref="C12"/>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1.56</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19.953470986721062</v>
      </c>
      <c r="F10" s="1"/>
      <c r="G10" s="112"/>
    </row>
    <row r="11" spans="1:9" x14ac:dyDescent="0.25">
      <c r="A11" s="128"/>
      <c r="B11" s="1"/>
      <c r="C11" s="99" t="s">
        <v>259</v>
      </c>
      <c r="D11" s="100">
        <v>0.22</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0.66</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1.78</v>
      </c>
      <c r="E27" s="94">
        <f>SUM(E10:E26)</f>
        <v>20.613470986721062</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disablePrompts="1" xWindow="186" yWindow="445"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disablePrompts="1" xWindow="186" yWindow="445"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33.533105759999998</v>
      </c>
      <c r="E11" s="21"/>
      <c r="F11" s="1"/>
      <c r="G11" s="1"/>
      <c r="H11" s="112"/>
    </row>
    <row r="12" spans="2:12" ht="15.75" hidden="1" thickBot="1" x14ac:dyDescent="0.3">
      <c r="B12" s="122"/>
      <c r="C12" s="64" t="s">
        <v>126</v>
      </c>
      <c r="D12" s="92">
        <f>'Stage 3'!E27-'Stage 2'!E32</f>
        <v>14.098588603127133</v>
      </c>
      <c r="E12" s="21"/>
      <c r="F12" s="1"/>
      <c r="G12" s="1"/>
      <c r="H12" s="112"/>
    </row>
    <row r="13" spans="2:12" ht="15.75" hidden="1" thickBot="1" x14ac:dyDescent="0.3">
      <c r="B13" s="122"/>
      <c r="C13" s="62" t="s">
        <v>127</v>
      </c>
      <c r="D13" s="80">
        <f>D11+D12</f>
        <v>47.631694363127131</v>
      </c>
      <c r="E13" s="18"/>
      <c r="F13" s="1"/>
      <c r="G13" s="1"/>
      <c r="H13" s="112"/>
    </row>
    <row r="14" spans="2:12" hidden="1" x14ac:dyDescent="0.25">
      <c r="B14" s="122"/>
      <c r="C14" s="15" t="s">
        <v>128</v>
      </c>
      <c r="D14" s="91">
        <f>D13*1.2</f>
        <v>57.158033235752555</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57.16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33.533105759999998</v>
      </c>
      <c r="D15" s="21"/>
      <c r="E15" s="277" t="s">
        <v>138</v>
      </c>
    </row>
    <row r="16" spans="2:11" ht="16.5" thickTop="1" thickBot="1" x14ac:dyDescent="0.3">
      <c r="B16" s="15" t="s">
        <v>126</v>
      </c>
      <c r="C16" s="22">
        <f>'Stage 3'!E27-'Stage 2'!E32</f>
        <v>14.098588603127133</v>
      </c>
      <c r="D16" s="21"/>
      <c r="E16" s="277"/>
    </row>
    <row r="17" spans="2:6" ht="16.5" thickTop="1" thickBot="1" x14ac:dyDescent="0.3">
      <c r="B17" s="16" t="s">
        <v>127</v>
      </c>
      <c r="C17" s="47">
        <f>C15+C16</f>
        <v>47.631694363127131</v>
      </c>
      <c r="D17" s="18"/>
      <c r="E17" s="277"/>
    </row>
    <row r="18" spans="2:6" ht="15.75" thickTop="1" x14ac:dyDescent="0.25">
      <c r="B18" s="17" t="s">
        <v>128</v>
      </c>
      <c r="C18" s="48">
        <f>C17*1.2</f>
        <v>57.158033235752555</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33.533105759999998</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57.158033235752555</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E662" sqref="E662"/>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0.42605138186280683</v>
      </c>
      <c r="J603" s="167">
        <f>IFERROR(VLOOKUP((VLOOKUP('Stage 2'!$E$9,Lookups!$C$639:$D$647,2,FALSE)&amp;"|"&amp;"General"&amp;"|"&amp;"FALSE"&amp;"|"&amp;VLOOKUP('Stage 2'!$E$11,Lookups!$C$613:$E$635,3,FALSE)&amp;"|"&amp;"FreeDrain"),$H$85:$O$345,3,FALSE), IFERROR(VLOOKUP("General"&amp;"|"&amp;VLOOKUP('Stage 2'!$E$11,Lookups!$C$613:$E$635,3,FALSE),$K$85:$O$345,3,FALSE),VLOOKUP("General",D85:O345,12,FALSE)))</f>
        <v>16.419173411450149</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1.3726809372383346</v>
      </c>
      <c r="J607" s="34">
        <f>VLOOKUP('Stage 2'!E11,Lookups!C613:K635,9,FALSE)</f>
        <v>12.790686529949399</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1.0044006857841474</v>
      </c>
      <c r="J608" s="34">
        <f>VLOOKUP('Stage 2'!E11,Lookups!C613:M635,10,FALSE)</f>
        <v>6.82169948263968</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0.73656050290837471</v>
      </c>
      <c r="J609" s="34">
        <f>VLOOKUP('Stage 2'!E11,Lookups!C613:P635,11,FALSE)</f>
        <v>7.5397731123912237</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Maddie Errington</cp:lastModifiedBy>
  <cp:revision/>
  <dcterms:created xsi:type="dcterms:W3CDTF">2021-10-14T13:24:34Z</dcterms:created>
  <dcterms:modified xsi:type="dcterms:W3CDTF">2022-06-15T13:08:19Z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