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0041 Cold harbour Farm Ems NN/"/>
    </mc:Choice>
  </mc:AlternateContent>
  <xr:revisionPtr revIDLastSave="2" documentId="8_{B61FDBB9-F215-4ED1-9328-32F6DCDEFC92}" xr6:coauthVersionLast="47" xr6:coauthVersionMax="47" xr10:uidLastSave="{C8C5AE63-2A71-4492-A299-6B946359B1C9}"/>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2576"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7" i="8"/>
  <c r="G18" i="8"/>
  <c r="G19" i="8"/>
  <c r="G20" i="8"/>
  <c r="G21" i="8"/>
  <c r="G22" i="8"/>
  <c r="G23" i="8"/>
  <c r="G24" i="8"/>
  <c r="G25" i="8"/>
  <c r="G26" i="8"/>
  <c r="G27" i="8"/>
  <c r="G28" i="8"/>
  <c r="G29" i="8"/>
  <c r="G30" i="8"/>
  <c r="G31"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l="1"/>
  <c r="K347" i="3"/>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G16" i="8" l="1"/>
  <c r="E16" i="8"/>
  <c r="E27" i="8"/>
  <c r="E14" i="9"/>
  <c r="F16" i="10"/>
  <c r="F24" i="10"/>
  <c r="F17" i="10"/>
  <c r="G23" i="7"/>
  <c r="G21" i="7"/>
  <c r="C21" i="7"/>
  <c r="F16" i="7"/>
  <c r="H16" i="7"/>
  <c r="H15" i="7"/>
  <c r="F15" i="7"/>
  <c r="G15" i="7"/>
  <c r="G16" i="7"/>
  <c r="I23" i="7"/>
  <c r="D23" i="7"/>
  <c r="D24" i="7" s="1"/>
  <c r="D33" i="7" l="1"/>
  <c r="D27" i="7"/>
  <c r="J609" i="3"/>
  <c r="E10" i="9" s="1"/>
  <c r="J608" i="3"/>
  <c r="I608" i="3"/>
  <c r="I609" i="3"/>
  <c r="H609" i="3"/>
  <c r="H608" i="3"/>
  <c r="H607" i="3"/>
  <c r="H606" i="3"/>
  <c r="H605" i="3"/>
  <c r="H604" i="3"/>
  <c r="H603" i="3"/>
  <c r="H602" i="3"/>
  <c r="E28" i="8" l="1"/>
  <c r="G15" i="8"/>
  <c r="E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<sst xmlns="http://schemas.openxmlformats.org/spreadsheetml/2006/main" count="2512" uniqueCount="333">
  <si>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</si>
  <si>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</si>
  <si>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</si>
  <si>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</si>
  <si>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</si>
  <si>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</si>
  <si>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</si>
  <si>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</si>
  <si>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</si>
  <si>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</si>
  <si>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</si>
  <si>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</si>
  <si>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</si>
  <si>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</si>
  <si>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</si>
  <si>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</si>
  <si>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</si>
  <si>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</si>
  <si>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</si>
  <si>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</si>
  <si>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</si>
  <si>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</si>
  <si>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</si>
  <si>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</si>
  <si>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</si>
  <si>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</si>
  <si>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</si>
  <si>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</si>
  <si>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</si>
  <si>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</si>
  <si>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</si>
  <si>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</si>
  <si>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</si>
  <si>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</si>
  <si>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</si>
  <si>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</si>
  <si>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</si>
  <si>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</si>
  <si>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</si>
  <si>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</si>
  <si>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</si>
  <si>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</si>
  <si>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</si>
  <si>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</si>
  <si>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</si>
  <si>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</si>
  <si>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</si>
  <si>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</si>
  <si>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</si>
  <si>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</si>
  <si>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</si>
  <si>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</si>
  <si>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</si>
  <si>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</si>
  <si>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</si>
  <si>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</si>
  <si>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</si>
  <si>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</si>
  <si>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</si>
  <si>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</si>
  <si>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</si>
  <si>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</si>
  <si>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</si>
  <si>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</si>
  <si>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</si>
  <si>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</si>
  <si>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</si>
  <si>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</si>
  <si>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</si>
  <si>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</si>
  <si>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</si>
  <si>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</si>
  <si>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</si>
  <si>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</si>
  <si>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</si>
  <si>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</si>
  <si>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</si>
  <si>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</si>
  <si>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</si>
  <si>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</si>
  <si>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</si>
  <si>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</si>
  <si>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</si>
  <si>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</si>
  <si>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</si>
  <si>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</si>
  <si>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</si>
  <si>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</si>
  <si>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</si>
  <si>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</si>
  <si>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</si>
  <si>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</si>
  <si>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</si>
  <si>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</si>
  <si>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</si>
  <si>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</si>
  <si>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</si>
  <si>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</si>
  <si>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</si>
  <si>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</si>
  <si>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</si>
  <si>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</si>
  <si>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</si>
  <si>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</si>
  <si>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</si>
  <si>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</si>
  <si>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</si>
  <si>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</si>
  <si>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</si>
  <si>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</si>
  <si>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</si>
  <si>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</si>
  <si>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</si>
  <si>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</si>
  <si>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</si>
  <si>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</si>
  <si>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</si>
  <si>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</si>
  <si>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</si>
  <si>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</si>
  <si>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</si>
  <si>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</si>
  <si>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</si>
  <si>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</si>
  <si>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</si>
  <si>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</si>
  <si>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</si>
  <si>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</si>
  <si>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</si>
  <si>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</si>
  <si>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</si>
  <si>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</si>
  <si>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</si>
  <si>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</si>
  <si>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</si>
  <si>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</si>
  <si>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</si>
  <si>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</si>
  <si>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</si>
  <si>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</si>
  <si>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</si>
  <si>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</si>
  <si>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</si>
  <si>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</si>
  <si>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</si>
  <si>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</si>
  <si>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</si>
  <si>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</si>
  <si>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</si>
  <si>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</si>
  <si>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</si>
  <si>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</si>
  <si>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</si>
  <si>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</si>
  <si>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</si>
  <si>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</si>
  <si>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</si>
  <si>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</si>
  <si>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</si>
  <si>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</si>
  <si>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</si>
  <si>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</si>
  <si>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</si>
  <si>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</si>
  <si>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</si>
  <si>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</si>
  <si>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</si>
  <si>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</si>
  <si>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</si>
  <si>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</si>
  <si>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</si>
  <si>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</si>
  <si>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</si>
  <si>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</si>
  <si>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</si>
  <si>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</si>
  <si>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</si>
  <si>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</si>
  <si>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</si>
  <si>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</si>
  <si>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</si>
  <si>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</si>
  <si>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</si>
  <si>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</si>
  <si>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</si>
  <si>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</si>
  <si>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</si>
  <si>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</si>
  <si>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</si>
  <si>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</si>
  <si>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</si>
  <si>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</si>
  <si>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</si>
  <si>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</si>
  <si>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</si>
  <si>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</si>
  <si>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</si>
  <si>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</si>
  <si>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</si>
  <si>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</si>
  <si>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</si>
  <si>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</si>
  <si>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</si>
  <si>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</si>
  <si>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</si>
  <si>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</si>
  <si>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</si>
  <si>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</si>
  <si>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</si>
  <si>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</si>
  <si>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</si>
  <si>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</si>
  <si>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</si>
  <si>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</si>
  <si>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</si>
  <si>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</si>
  <si>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</si>
  <si>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</si>
  <si>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</si>
  <si>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</si>
  <si>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</si>
  <si>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</si>
  <si>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</si>
  <si>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</si>
  <si>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</si>
  <si>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</si>
  <si>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</si>
  <si>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</si>
  <si>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</si>
  <si>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</si>
  <si>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</si>
  <si>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</si>
  <si>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</si>
  <si>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</si>
  <si>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</si>
  <si>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</si>
  <si>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</si>
  <si>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</si>
  <si>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</si>
  <si>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</si>
  <si>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</si>
  <si>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</si>
  <si>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</si>
  <si>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</si>
  <si>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</si>
  <si>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</si>
  <si>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</si>
  <si>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</si>
  <si>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</si>
  <si>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</si>
  <si>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</si>
  <si>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</si>
  <si>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</si>
  <si>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</si>
  <si>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</si>
  <si>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</si>
  <si>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</si>
  <si>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</si>
  <si>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</si>
  <si>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</si>
  <si>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</si>
  <si>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</si>
  <si>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</si>
  <si>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</si>
  <si>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</si>
  <si>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</si>
  <si>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</si>
  <si>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</si>
  <si>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</si>
  <si>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</si>
  <si>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</si>
  <si>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</si>
  <si>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</si>
  <si>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</si>
  <si>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</si>
  <si>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</si>
  <si>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</si>
  <si>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</si>
  <si>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</si>
  <si>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</si>
  <si>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</si>
  <si>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</si>
  <si>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</si>
  <si>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</si>
  <si>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</si>
  <si>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</si>
  <si>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</si>
  <si>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</si>
  <si>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</si>
  <si>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</si>
  <si>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</si>
  <si>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</si>
  <si>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</si>
  <si>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</si>
  <si>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</si>
  <si>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</si>
  <si>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</si>
  <si>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</si>
  <si>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</si>
  <si>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</si>
  <si>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</si>
  <si>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</si>
  <si>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</si>
  <si>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</si>
  <si>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</si>
  <si>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</si>
  <si>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</si>
  <si>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</si>
  <si>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</si>
  <si>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</si>
  <si>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</si>
  <si>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</si>
  <si>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</si>
  <si>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</si>
  <si>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</si>
  <si>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</si>
  <si>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</si>
  <si>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</si>
  <si>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</si>
  <si>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</si>
  <si>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</si>
  <si>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</si>
  <si>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</si>
  <si>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</si>
  <si>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</si>
  <si>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</si>
  <si>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</si>
  <si>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</si>
  <si>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</si>
  <si>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</si>
  <si>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</si>
  <si>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 xml:space="preserve">APP/19/01226  </t>
  </si>
  <si>
    <t>Land West of Coldharbour Farm Road, Emsworth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</si>
</sst>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7">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2" fontId="11" fillId="3" borderId="20" xfId="0" applyNumberFormat="1" applyFont="1" applyFill="1" applyBorder="1" applyAlignment="1" applyProtection="1">
      <alignment horizontal="left"/>
      <protection locked="0"/>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14" fontId="11" fillId="3" borderId="14"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95" sqref="D95:J95"/>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44713</v>
      </c>
      <c r="E7" s="259"/>
      <c r="F7" s="259"/>
      <c r="G7" s="259"/>
      <c r="H7" s="259"/>
      <c r="I7" s="259"/>
      <c r="J7" s="259"/>
      <c r="K7" s="259"/>
      <c r="L7" s="135"/>
      <c r="M7" s="131"/>
    </row>
    <row r="8" spans="2:13" ht="35.25" customHeight="1" thickBot="1" x14ac:dyDescent="0.35">
      <c r="B8" s="122"/>
      <c r="C8" s="50" t="s">
        <v>72</v>
      </c>
      <c r="D8" s="260">
        <v>44652</v>
      </c>
      <c r="E8" s="261"/>
      <c r="F8" s="261"/>
      <c r="G8" s="261"/>
      <c r="H8" s="261"/>
      <c r="I8" s="261"/>
      <c r="J8" s="261"/>
      <c r="K8" s="261"/>
      <c r="L8" s="134"/>
    </row>
    <row r="9" spans="2:13" ht="39.75" customHeight="1" thickBot="1" x14ac:dyDescent="0.35">
      <c r="B9" s="122"/>
      <c r="C9" s="138" t="s">
        <v>73</v>
      </c>
      <c r="D9" s="261" t="s">
        <v>331</v>
      </c>
      <c r="E9" s="261"/>
      <c r="F9" s="261"/>
      <c r="G9" s="261"/>
      <c r="H9" s="261"/>
      <c r="I9" s="261"/>
      <c r="J9" s="261"/>
      <c r="K9" s="261"/>
      <c r="L9" s="136"/>
    </row>
    <row r="10" spans="2:13" ht="97.5" customHeight="1" x14ac:dyDescent="0.3">
      <c r="B10" s="122"/>
      <c r="C10" s="139" t="s">
        <v>74</v>
      </c>
      <c r="D10" s="262" t="s">
        <v>332</v>
      </c>
      <c r="E10" s="262"/>
      <c r="F10" s="262"/>
      <c r="G10" s="262"/>
      <c r="H10" s="262"/>
      <c r="I10" s="262"/>
      <c r="J10" s="262"/>
      <c r="K10" s="262"/>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90" zoomScaleNormal="90" workbookViewId="0">
      <selection activeCell="D10" sqref="D10"/>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3" t="s">
        <v>75</v>
      </c>
      <c r="C3" s="264"/>
      <c r="D3" s="264"/>
      <c r="E3" s="264"/>
      <c r="F3" s="264"/>
      <c r="G3" s="264"/>
      <c r="H3" s="264"/>
      <c r="I3" s="264"/>
      <c r="J3" s="265"/>
    </row>
    <row r="4" spans="1:12" x14ac:dyDescent="0.3">
      <c r="A4" s="149"/>
      <c r="B4" s="263"/>
      <c r="C4" s="264"/>
      <c r="D4" s="264"/>
      <c r="E4" s="264"/>
      <c r="F4" s="264"/>
      <c r="G4" s="264"/>
      <c r="H4" s="264"/>
      <c r="I4" s="264"/>
      <c r="J4" s="265"/>
    </row>
    <row r="5" spans="1:12" x14ac:dyDescent="0.3">
      <c r="A5" s="149"/>
      <c r="B5" s="263"/>
      <c r="C5" s="264"/>
      <c r="D5" s="264"/>
      <c r="E5" s="264"/>
      <c r="F5" s="264"/>
      <c r="G5" s="264"/>
      <c r="H5" s="264"/>
      <c r="I5" s="264"/>
      <c r="J5" s="265"/>
    </row>
    <row r="6" spans="1:12" ht="18" x14ac:dyDescent="0.3">
      <c r="A6" s="149"/>
      <c r="B6" s="1"/>
      <c r="C6" s="1"/>
      <c r="D6" s="1"/>
      <c r="E6" s="1"/>
      <c r="F6" s="1"/>
      <c r="G6" s="1"/>
      <c r="H6" s="1"/>
      <c r="I6" s="1"/>
      <c r="J6" s="112"/>
      <c r="L6" s="146"/>
    </row>
    <row r="7" spans="1:12" ht="18" customHeight="1" x14ac:dyDescent="0.5">
      <c r="A7" s="149"/>
      <c r="B7" s="1"/>
      <c r="C7" s="268" t="s">
        <v>76</v>
      </c>
      <c r="D7" s="268"/>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44835</v>
      </c>
      <c r="E9" s="1"/>
      <c r="F9" s="1"/>
      <c r="G9" s="1"/>
      <c r="H9" s="74"/>
      <c r="I9" s="3"/>
      <c r="J9" s="141"/>
      <c r="L9" s="147"/>
    </row>
    <row r="10" spans="1:12" ht="21" customHeight="1" thickBot="1" x14ac:dyDescent="0.55000000000000004">
      <c r="A10" s="149"/>
      <c r="B10" s="1"/>
      <c r="C10" s="62" t="s">
        <v>78</v>
      </c>
      <c r="D10" s="102">
        <v>2.23</v>
      </c>
      <c r="E10" s="6"/>
      <c r="F10" s="6"/>
      <c r="G10" s="267"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7"/>
      <c r="H11" s="74"/>
      <c r="I11" s="7"/>
      <c r="J11" s="134"/>
      <c r="K11" s="147"/>
      <c r="L11" s="148"/>
    </row>
    <row r="12" spans="1:12" ht="36" customHeight="1" thickBot="1" x14ac:dyDescent="0.35">
      <c r="A12" s="149"/>
      <c r="B12" s="1"/>
      <c r="C12" s="62" t="s">
        <v>80</v>
      </c>
      <c r="D12" s="104">
        <v>44</v>
      </c>
      <c r="E12" s="8"/>
      <c r="F12" s="8"/>
      <c r="G12" s="267"/>
      <c r="H12" s="74"/>
      <c r="I12" s="8"/>
      <c r="J12" s="136"/>
      <c r="K12" s="148"/>
    </row>
    <row r="13" spans="1:12" ht="36" customHeight="1" thickBot="1" x14ac:dyDescent="0.35">
      <c r="A13" s="149"/>
      <c r="B13" s="1"/>
      <c r="C13" s="62" t="s">
        <v>330</v>
      </c>
      <c r="D13" s="104" t="s">
        <v>325</v>
      </c>
      <c r="E13" s="8"/>
      <c r="F13" s="8"/>
      <c r="G13" s="267"/>
      <c r="H13" s="74"/>
      <c r="I13" s="8"/>
      <c r="J13" s="136"/>
      <c r="K13" s="148"/>
    </row>
    <row r="14" spans="1:12" ht="50.25" customHeight="1" thickBot="1" x14ac:dyDescent="0.35">
      <c r="A14" s="149"/>
      <c r="B14" s="1"/>
      <c r="C14" s="64" t="s">
        <v>81</v>
      </c>
      <c r="D14" s="105" t="s">
        <v>204</v>
      </c>
      <c r="E14" s="8"/>
      <c r="F14" s="1"/>
      <c r="G14" s="267"/>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v>5</v>
      </c>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8" t="s">
        <v>85</v>
      </c>
      <c r="D18" s="268"/>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6" t="str">
        <f>IFERROR(IF(AND($D$9&lt;DATE(2025,1,1),OR((VLOOKUP($D$14,Lookups!$C$8:$G$79,2,FALSE))&gt;(VLOOKUP($D$14,Lookups!$C$8:$G$79,4,FALSE)),(VLOOKUP($D$14,Lookups!$C$8:$G$79,3,FALSE))&gt;(VLOOKUP($D$14,Lookups!$C$8:$G$79,5,FALSE)))),"Post-2025 Stage 1 Nutrient Loading","Stage 1 Nutrient Loading"),"")</f>
        <v>Stage 1 Nutrient Loading</v>
      </c>
      <c r="D21" s="266"/>
      <c r="E21" s="1"/>
      <c r="F21" s="1"/>
      <c r="G21" s="266" t="str">
        <f>IFERROR(IF(AND($D$9&lt;DATE(2025,1,1),OR((VLOOKUP($D$14,Lookups!$C$8:$G$79,2,FALSE))&gt;(VLOOKUP($D$14,Lookups!$C$8:$G$79,4,FALSE)),(VLOOKUP($D$14,Lookups!$C$8:$G$79,3,FALSE))&gt;(VLOOKUP($D$14,Lookups!$C$8:$G$79,5,FALSE)))),"Pre-2025 Stage 1 Nutrient Loading",""),"")</f>
        <v/>
      </c>
      <c r="H21" s="266"/>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98.12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11774.400000000001</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94195.200000000012</v>
      </c>
      <c r="E27" s="27" t="s">
        <v>92</v>
      </c>
      <c r="F27" s="1"/>
      <c r="G27" s="83"/>
      <c r="H27" s="81"/>
      <c r="I27" s="81"/>
      <c r="J27" s="144"/>
    </row>
    <row r="28" spans="1:14" ht="15" hidden="1" thickBot="1" x14ac:dyDescent="0.35">
      <c r="A28" s="149"/>
      <c r="B28" s="1"/>
      <c r="C28" s="26" t="s">
        <v>93</v>
      </c>
      <c r="D28" s="51">
        <f>IFERROR($D$27/1000000,"")</f>
        <v>9.4195200000000007E-2</v>
      </c>
      <c r="E28" s="27" t="s">
        <v>94</v>
      </c>
      <c r="F28" s="1"/>
      <c r="G28" s="83"/>
      <c r="H28" s="87"/>
      <c r="I28" s="84"/>
      <c r="J28" s="144"/>
    </row>
    <row r="29" spans="1:14" ht="15" hidden="1" thickBot="1" x14ac:dyDescent="0.35">
      <c r="A29" s="149"/>
      <c r="B29" s="1"/>
      <c r="C29" s="54" t="s">
        <v>95</v>
      </c>
      <c r="D29" s="56">
        <f>IFERROR($D$28*365.25,"")</f>
        <v>34.4047968</v>
      </c>
      <c r="E29" s="27" t="s">
        <v>96</v>
      </c>
      <c r="F29" s="1"/>
      <c r="G29" s="83"/>
      <c r="H29" s="88"/>
      <c r="I29" s="84"/>
      <c r="J29" s="144"/>
    </row>
    <row r="30" spans="1:14" hidden="1" x14ac:dyDescent="0.3">
      <c r="A30" s="149"/>
      <c r="B30" s="1"/>
      <c r="C30" s="55" t="s">
        <v>97</v>
      </c>
      <c r="D30" s="57">
        <f>D29</f>
        <v>34.4047968</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84775.680000000008</v>
      </c>
      <c r="E33" s="27" t="s">
        <v>99</v>
      </c>
      <c r="F33" s="1"/>
      <c r="G33" s="83"/>
      <c r="H33" s="87"/>
      <c r="I33" s="84"/>
      <c r="J33" s="144"/>
    </row>
    <row r="34" spans="1:10" ht="15" hidden="1" thickBot="1" x14ac:dyDescent="0.35">
      <c r="A34" s="149"/>
      <c r="B34" s="1"/>
      <c r="C34" s="58" t="s">
        <v>100</v>
      </c>
      <c r="D34" s="59">
        <f>IFERROR($D$33/1000000,"")</f>
        <v>8.4775680000000006E-2</v>
      </c>
      <c r="E34" s="27" t="s">
        <v>101</v>
      </c>
      <c r="F34" s="1"/>
      <c r="G34" s="83"/>
      <c r="H34" s="87"/>
      <c r="I34" s="84"/>
      <c r="J34" s="144"/>
    </row>
    <row r="35" spans="1:10" ht="15" hidden="1" thickBot="1" x14ac:dyDescent="0.35">
      <c r="A35" s="149"/>
      <c r="B35" s="1"/>
      <c r="C35" s="58" t="s">
        <v>102</v>
      </c>
      <c r="D35" s="60">
        <f>IFERROR($D$34*365.25,"")</f>
        <v>30.96431712</v>
      </c>
      <c r="E35" s="27" t="s">
        <v>103</v>
      </c>
      <c r="F35" s="1"/>
      <c r="G35" s="83"/>
      <c r="H35" s="88"/>
      <c r="I35" s="84"/>
      <c r="J35" s="144"/>
    </row>
    <row r="36" spans="1:10" x14ac:dyDescent="0.3">
      <c r="A36" s="149"/>
      <c r="B36" s="1"/>
      <c r="C36" s="55" t="s">
        <v>104</v>
      </c>
      <c r="D36" s="57">
        <f>D35</f>
        <v>30.96431712</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51" yWindow="497"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51" yWindow="497"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8" zoomScale="90" zoomScaleNormal="90" workbookViewId="0">
      <selection activeCell="E9" sqref="E9"/>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3" t="s">
        <v>105</v>
      </c>
      <c r="C3" s="272"/>
      <c r="D3" s="272"/>
      <c r="E3" s="272"/>
      <c r="F3" s="272"/>
      <c r="G3" s="272"/>
      <c r="H3" s="265"/>
    </row>
    <row r="4" spans="1:11" ht="15" customHeight="1" x14ac:dyDescent="0.3">
      <c r="A4" s="128"/>
      <c r="B4" s="263"/>
      <c r="C4" s="272"/>
      <c r="D4" s="272"/>
      <c r="E4" s="272"/>
      <c r="F4" s="272"/>
      <c r="G4" s="272"/>
      <c r="H4" s="265"/>
    </row>
    <row r="5" spans="1:11" ht="15" customHeight="1" x14ac:dyDescent="0.3">
      <c r="A5" s="128"/>
      <c r="B5" s="263"/>
      <c r="C5" s="272"/>
      <c r="D5" s="272"/>
      <c r="E5" s="272"/>
      <c r="F5" s="272"/>
      <c r="G5" s="272"/>
      <c r="H5" s="265"/>
    </row>
    <row r="6" spans="1:11" ht="18" x14ac:dyDescent="0.3">
      <c r="A6" s="128"/>
      <c r="B6" s="1"/>
      <c r="C6" s="1"/>
      <c r="D6" s="1"/>
      <c r="E6" s="1"/>
      <c r="F6" s="1"/>
      <c r="G6" s="1"/>
      <c r="H6" s="135"/>
    </row>
    <row r="7" spans="1:11" ht="18" customHeight="1" x14ac:dyDescent="0.3">
      <c r="A7" s="128"/>
      <c r="B7" s="1"/>
      <c r="C7" s="273" t="s">
        <v>76</v>
      </c>
      <c r="D7" s="273"/>
      <c r="E7" s="273"/>
      <c r="F7" s="273"/>
      <c r="G7" s="216"/>
      <c r="H7" s="134"/>
    </row>
    <row r="8" spans="1:11" ht="12" customHeight="1" x14ac:dyDescent="0.3">
      <c r="A8" s="128"/>
      <c r="B8" s="1"/>
      <c r="C8" s="1"/>
      <c r="D8" s="1"/>
      <c r="E8" s="1"/>
      <c r="F8" s="1"/>
      <c r="G8" s="1"/>
      <c r="H8" s="134"/>
    </row>
    <row r="9" spans="1:11" ht="18.600000000000001" thickBot="1" x14ac:dyDescent="0.35">
      <c r="A9" s="128"/>
      <c r="B9" s="1"/>
      <c r="C9" s="270" t="s">
        <v>106</v>
      </c>
      <c r="D9" s="270"/>
      <c r="E9" s="209" t="s">
        <v>251</v>
      </c>
      <c r="F9" s="1"/>
      <c r="G9" s="1"/>
      <c r="H9" s="134"/>
    </row>
    <row r="10" spans="1:11" ht="18.600000000000001" thickBot="1" x14ac:dyDescent="0.35">
      <c r="A10" s="128"/>
      <c r="B10" s="1"/>
      <c r="C10" s="271" t="s">
        <v>108</v>
      </c>
      <c r="D10" s="271"/>
      <c r="E10" s="96" t="s">
        <v>323</v>
      </c>
      <c r="F10" s="1"/>
      <c r="G10" s="1"/>
      <c r="H10" s="136"/>
    </row>
    <row r="11" spans="1:11" ht="18.600000000000001" thickBot="1" x14ac:dyDescent="0.35">
      <c r="A11" s="128"/>
      <c r="B11" s="1"/>
      <c r="C11" s="271" t="s">
        <v>110</v>
      </c>
      <c r="D11" s="271"/>
      <c r="E11" s="97" t="s">
        <v>287</v>
      </c>
      <c r="F11" s="1"/>
      <c r="G11" s="1"/>
      <c r="H11" s="136"/>
    </row>
    <row r="12" spans="1:11" x14ac:dyDescent="0.3">
      <c r="A12" s="128"/>
      <c r="B12" s="1"/>
      <c r="C12" s="269" t="s">
        <v>112</v>
      </c>
      <c r="D12" s="269"/>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99" t="s">
        <v>242</v>
      </c>
      <c r="D15" s="222">
        <v>1.94</v>
      </c>
      <c r="E15" s="218">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21.762097952587979</v>
      </c>
      <c r="F15" s="1"/>
      <c r="G15" s="221">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21.762097952587979</v>
      </c>
      <c r="H15" s="150"/>
      <c r="I15" s="151"/>
      <c r="J15" s="151"/>
      <c r="K15" s="151"/>
    </row>
    <row r="16" spans="1:11" x14ac:dyDescent="0.3">
      <c r="A16" s="128"/>
      <c r="B16" s="1"/>
      <c r="C16" s="217"/>
      <c r="D16" s="219"/>
      <c r="E16" s="218"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1"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19"/>
      <c r="E17" s="218"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1"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19"/>
      <c r="E18" s="218"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1"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19"/>
      <c r="E19" s="218"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1"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19"/>
      <c r="E20" s="218"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1"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19"/>
      <c r="E21" s="218"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1"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19"/>
      <c r="E22" s="218"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1"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19"/>
      <c r="E23" s="218"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1"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19"/>
      <c r="E24" s="218"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1"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19"/>
      <c r="E25" s="218"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1"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19"/>
      <c r="E26" s="218"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1"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19"/>
      <c r="E27" s="218"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1"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19"/>
      <c r="E28" s="218"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1"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19"/>
      <c r="E29" s="218"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1"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19"/>
      <c r="E30" s="218"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1"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0"/>
      <c r="E31" s="218"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1"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1.94</v>
      </c>
      <c r="E32" s="213">
        <f>SUM(E15:E31)</f>
        <v>21.762097952587979</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C10" sqref="C10:D11"/>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3" t="s">
        <v>119</v>
      </c>
      <c r="C3" s="264"/>
      <c r="D3" s="264"/>
      <c r="E3" s="264"/>
      <c r="F3" s="264"/>
      <c r="G3" s="265"/>
    </row>
    <row r="4" spans="1:9" x14ac:dyDescent="0.3">
      <c r="A4" s="128"/>
      <c r="B4" s="263"/>
      <c r="C4" s="264"/>
      <c r="D4" s="264"/>
      <c r="E4" s="264"/>
      <c r="F4" s="264"/>
      <c r="G4" s="265"/>
    </row>
    <row r="5" spans="1:9" x14ac:dyDescent="0.3">
      <c r="A5" s="128"/>
      <c r="B5" s="263"/>
      <c r="C5" s="264"/>
      <c r="D5" s="264"/>
      <c r="E5" s="264"/>
      <c r="F5" s="264"/>
      <c r="G5" s="265"/>
    </row>
    <row r="6" spans="1:9" ht="18" x14ac:dyDescent="0.3">
      <c r="A6" s="128"/>
      <c r="B6" s="1"/>
      <c r="C6" s="1"/>
      <c r="D6" s="1"/>
      <c r="E6" s="1"/>
      <c r="F6" s="1"/>
      <c r="G6" s="135"/>
    </row>
    <row r="7" spans="1:9" ht="18" customHeight="1" x14ac:dyDescent="0.3">
      <c r="A7" s="128"/>
      <c r="B7" s="1"/>
      <c r="C7" s="268" t="s">
        <v>76</v>
      </c>
      <c r="D7" s="268"/>
      <c r="E7" s="268"/>
      <c r="F7" s="268"/>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1.42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19.182295360650226</v>
      </c>
      <c r="F10" s="1"/>
      <c r="G10" s="112"/>
    </row>
    <row r="11" spans="1:9" x14ac:dyDescent="0.3">
      <c r="A11" s="128"/>
      <c r="B11" s="1"/>
      <c r="C11" s="99" t="s">
        <v>259</v>
      </c>
      <c r="D11" s="100">
        <v>0.52</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1.56</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1.94</v>
      </c>
      <c r="E27" s="94">
        <f>SUM(E10:E26)</f>
        <v>20.742295360650225</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4" t="s">
        <v>123</v>
      </c>
      <c r="C3" s="275"/>
      <c r="D3" s="275"/>
      <c r="E3" s="275"/>
      <c r="F3" s="275"/>
      <c r="G3" s="275"/>
      <c r="H3" s="276"/>
    </row>
    <row r="4" spans="2:12" x14ac:dyDescent="0.3">
      <c r="B4" s="263"/>
      <c r="C4" s="264"/>
      <c r="D4" s="264"/>
      <c r="E4" s="264"/>
      <c r="F4" s="264"/>
      <c r="G4" s="264"/>
      <c r="H4" s="265"/>
    </row>
    <row r="5" spans="2:12" x14ac:dyDescent="0.3">
      <c r="B5" s="263"/>
      <c r="C5" s="264"/>
      <c r="D5" s="264"/>
      <c r="E5" s="264"/>
      <c r="F5" s="264"/>
      <c r="G5" s="264"/>
      <c r="H5" s="265"/>
    </row>
    <row r="6" spans="2:12" ht="18" x14ac:dyDescent="0.3">
      <c r="B6" s="122"/>
      <c r="C6" s="1"/>
      <c r="D6" s="1"/>
      <c r="E6" s="1"/>
      <c r="F6" s="1"/>
      <c r="G6" s="1"/>
      <c r="H6" s="112"/>
      <c r="L6" s="130"/>
    </row>
    <row r="7" spans="2:12" ht="18" x14ac:dyDescent="0.3">
      <c r="B7" s="122"/>
      <c r="C7" s="273" t="s">
        <v>124</v>
      </c>
      <c r="D7" s="273"/>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30.96431712</v>
      </c>
      <c r="E11" s="21"/>
      <c r="F11" s="1"/>
      <c r="G11" s="1"/>
      <c r="H11" s="112"/>
    </row>
    <row r="12" spans="2:12" ht="15" hidden="1" thickBot="1" x14ac:dyDescent="0.35">
      <c r="B12" s="122"/>
      <c r="C12" s="64" t="s">
        <v>126</v>
      </c>
      <c r="D12" s="92">
        <f>'Stage 3'!E27-'Stage 2'!E32</f>
        <v>-1.0198025919377542</v>
      </c>
      <c r="E12" s="21"/>
      <c r="F12" s="1"/>
      <c r="G12" s="1"/>
      <c r="H12" s="112"/>
    </row>
    <row r="13" spans="2:12" ht="15" hidden="1" thickBot="1" x14ac:dyDescent="0.35">
      <c r="B13" s="122"/>
      <c r="C13" s="62" t="s">
        <v>127</v>
      </c>
      <c r="D13" s="80">
        <f>D11+D12</f>
        <v>29.944514528062246</v>
      </c>
      <c r="E13" s="18"/>
      <c r="F13" s="1"/>
      <c r="G13" s="1"/>
      <c r="H13" s="112"/>
    </row>
    <row r="14" spans="2:12" hidden="1" x14ac:dyDescent="0.3">
      <c r="B14" s="122"/>
      <c r="C14" s="15" t="s">
        <v>128</v>
      </c>
      <c r="D14" s="91">
        <f>D13*1.2</f>
        <v>35.933417433674691</v>
      </c>
      <c r="E14" s="18"/>
      <c r="F14" s="1"/>
      <c r="G14" s="1"/>
      <c r="H14" s="112"/>
    </row>
    <row r="15" spans="2:12" ht="11.25" customHeight="1" x14ac:dyDescent="0.3">
      <c r="B15" s="122"/>
      <c r="C15" s="9"/>
      <c r="D15" s="11"/>
      <c r="E15" s="12"/>
      <c r="F15" s="1"/>
      <c r="G15" s="1"/>
      <c r="H15" s="112"/>
    </row>
    <row r="16" spans="2:12" ht="24.75" customHeight="1" x14ac:dyDescent="0.3">
      <c r="B16" s="122"/>
      <c r="C16" s="277" t="str">
        <f>IFERROR(IF(AND('Stage 1'!$D$9&lt;DATE(2025,1,1),OR((VLOOKUP('Stage 1'!$D$14,Lookups!$C$8:$G$79,2,FALSE))&gt;(VLOOKUP('Stage 1'!$D$14,Lookups!$C$8:$G$79,4,FALSE)),(VLOOKUP('Stage 1'!$D$14,Lookups!$C$8:$G$79,3,FALSE))&gt;(VLOOKUP('Stage 1'!$D$14,Lookups!$C$8:$G$79,5,FALSE)))),"Post-2025 Annual Nutrient Budget","Annual Nutrient Budget"),"")</f>
        <v>Annual Nutrient Budget</v>
      </c>
      <c r="D16" s="277"/>
      <c r="E16" s="12"/>
      <c r="F16" s="277" t="str">
        <f>IFERROR(IF(AND('Stage 1'!$D$9&lt;DATE(2025,1,1),OR((VLOOKUP('Stage 1'!$D$14,Lookups!$C$8:$G$79,2,FALSE))&gt;(VLOOKUP('Stage 1'!$D$14,Lookups!$C$8:$G$79,4,FALSE)),(VLOOKUP('Stage 1'!$D$14,Lookups!$C$8:$G$79,3,FALSE))&gt;(VLOOKUP('Stage 1'!$D$14,Lookups!$C$8:$G$79,5,FALSE)))),"Pre-2025 Annual Nutrient Budget",""),"")</f>
        <v/>
      </c>
      <c r="G16" s="277"/>
      <c r="H16" s="112"/>
    </row>
    <row r="17" spans="2:8" ht="15" hidden="1" customHeight="1" x14ac:dyDescent="0.3">
      <c r="B17" s="122"/>
      <c r="C17" s="278" t="s">
        <v>129</v>
      </c>
      <c r="D17" s="280" t="e">
        <f>IF(ROUND(#REF!,2)&lt;0,0&amp;" kg TP/year",ROUND(#REF!,2)&amp;" kg TP/year")</f>
        <v>#REF!</v>
      </c>
      <c r="E17" s="1"/>
      <c r="F17" s="278" t="str">
        <f>IFERROR(IF(AND('Stage 1'!$D$9&lt;DATE(2025,1,1),OR((VLOOKUP('Stage 1'!$D$14,Lookups!$C$8:$G$79,2,FALSE))&gt;(VLOOKUP('Stage 1'!$D$14,Lookups!$C$8:$G$79,4,FALSE)),(VLOOKUP('Stage 1'!$D$14,Lookups!$C$8:$G$79,3,FALSE))&gt;(VLOOKUP('Stage 1'!$D$14,Lookups!$C$8:$G$79,5,FALSE)))),"The pre-2025 annual phosphorus load to mitigate is:",""),"")</f>
        <v/>
      </c>
      <c r="G17" s="279"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8"/>
      <c r="D18" s="280"/>
      <c r="E18" s="1"/>
      <c r="F18" s="278"/>
      <c r="G18" s="279"/>
      <c r="H18" s="112"/>
    </row>
    <row r="19" spans="2:8" ht="15" hidden="1" customHeight="1" x14ac:dyDescent="0.3">
      <c r="B19" s="122"/>
      <c r="C19" s="278"/>
      <c r="D19" s="280"/>
      <c r="E19" s="1"/>
      <c r="F19" s="278"/>
      <c r="G19" s="279"/>
      <c r="H19" s="112"/>
    </row>
    <row r="20" spans="2:8" ht="15" hidden="1" customHeight="1" x14ac:dyDescent="0.3">
      <c r="B20" s="122"/>
      <c r="C20" s="278"/>
      <c r="D20" s="280"/>
      <c r="E20" s="1"/>
      <c r="F20" s="278"/>
      <c r="G20" s="279"/>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8" t="s">
        <v>130</v>
      </c>
      <c r="D23" s="280" t="str">
        <f>IF(ROUND(D14,2)&lt;0,0&amp;" kg TN/year",ROUND(D14,2)&amp;" kg TN/year")</f>
        <v>35.93 kg TN/year</v>
      </c>
      <c r="E23" s="1"/>
      <c r="F23" s="76"/>
      <c r="G23" s="279"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8"/>
      <c r="D24" s="280"/>
      <c r="E24" s="1"/>
      <c r="F24" s="278" t="str">
        <f>IFERROR(IF(AND('Stage 1'!$D$9&lt;DATE(2025,1,1),OR((VLOOKUP('Stage 1'!$D$14,Lookups!$C$8:$G$79,2,FALSE))&gt;(VLOOKUP('Stage 1'!$D$14,Lookups!$C$8:$G$79,4,FALSE)),(VLOOKUP('Stage 1'!$D$14,Lookups!$C$8:$G$79,3,FALSE))&gt;(VLOOKUP('Stage 1'!$D$14,Lookups!$C$8:$G$79,5,FALSE)))),"The pre-2025 annual nitrogen load to mitigate is:",""),"")</f>
        <v/>
      </c>
      <c r="G24" s="279"/>
      <c r="H24" s="112"/>
    </row>
    <row r="25" spans="2:8" ht="15" customHeight="1" x14ac:dyDescent="0.3">
      <c r="B25" s="122"/>
      <c r="C25" s="278"/>
      <c r="D25" s="280"/>
      <c r="E25" s="1"/>
      <c r="F25" s="278"/>
      <c r="G25" s="279"/>
      <c r="H25" s="112"/>
    </row>
    <row r="26" spans="2:8" ht="15.75" customHeight="1" x14ac:dyDescent="0.3">
      <c r="B26" s="122"/>
      <c r="C26" s="278"/>
      <c r="D26" s="280"/>
      <c r="E26" s="1"/>
      <c r="F26" s="278"/>
      <c r="G26" s="279"/>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8" t="s">
        <v>132</v>
      </c>
      <c r="G9" s="3"/>
      <c r="H9" s="3"/>
      <c r="I9" s="9"/>
      <c r="K9" s="7"/>
    </row>
    <row r="10" spans="2:11" ht="21" customHeight="1" thickTop="1" thickBot="1" x14ac:dyDescent="0.55000000000000004">
      <c r="B10" s="15" t="s">
        <v>133</v>
      </c>
      <c r="D10" s="23"/>
      <c r="E10" s="278"/>
      <c r="G10" s="3"/>
      <c r="H10" s="3" t="s">
        <v>134</v>
      </c>
      <c r="I10" s="9"/>
      <c r="J10" s="6"/>
      <c r="K10" s="8"/>
    </row>
    <row r="11" spans="2:11" ht="19.2" thickTop="1" thickBot="1" x14ac:dyDescent="0.35">
      <c r="B11" s="16" t="s">
        <v>135</v>
      </c>
      <c r="D11" s="24"/>
      <c r="E11" s="278"/>
      <c r="G11" s="7"/>
      <c r="H11" s="7" t="e">
        <f>IF(C33&lt;0,"Well done, you're in the clear…,""")</f>
        <v>#REF!</v>
      </c>
      <c r="I11" s="7"/>
      <c r="J11" s="7"/>
      <c r="K11" s="8"/>
    </row>
    <row r="12" spans="2:11" ht="29.25" customHeight="1" thickTop="1" x14ac:dyDescent="0.3">
      <c r="B12" s="17" t="s">
        <v>136</v>
      </c>
      <c r="D12" s="25"/>
      <c r="E12" s="278"/>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30.96431712</v>
      </c>
      <c r="D15" s="21"/>
      <c r="E15" s="278" t="s">
        <v>138</v>
      </c>
    </row>
    <row r="16" spans="2:11" ht="15.6" thickTop="1" thickBot="1" x14ac:dyDescent="0.35">
      <c r="B16" s="15" t="s">
        <v>126</v>
      </c>
      <c r="C16" s="22">
        <f>'Stage 3'!E27-'Stage 2'!E32</f>
        <v>-1.0198025919377542</v>
      </c>
      <c r="D16" s="21"/>
      <c r="E16" s="278"/>
    </row>
    <row r="17" spans="2:6" ht="15.6" thickTop="1" thickBot="1" x14ac:dyDescent="0.35">
      <c r="B17" s="16" t="s">
        <v>127</v>
      </c>
      <c r="C17" s="47">
        <f>C15+C16</f>
        <v>29.944514528062246</v>
      </c>
      <c r="D17" s="18"/>
      <c r="E17" s="278"/>
    </row>
    <row r="18" spans="2:6" ht="15" thickTop="1" x14ac:dyDescent="0.3">
      <c r="B18" s="17" t="s">
        <v>128</v>
      </c>
      <c r="C18" s="48">
        <f>C17*1.2</f>
        <v>35.933417433674691</v>
      </c>
      <c r="D18" s="18"/>
      <c r="E18" s="278"/>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34.4047968</v>
      </c>
      <c r="F24" s="280" t="e">
        <f>C33</f>
        <v>#REF!</v>
      </c>
    </row>
    <row r="25" spans="2:6" ht="15" thickTop="1" x14ac:dyDescent="0.3">
      <c r="F25" s="280"/>
    </row>
    <row r="26" spans="2:6" x14ac:dyDescent="0.3">
      <c r="F26" s="280"/>
    </row>
    <row r="27" spans="2:6" ht="15" thickBot="1" x14ac:dyDescent="0.35">
      <c r="C27" s="22" t="e">
        <f>'Stage 3'!#REF!-'Stage 2'!#REF!</f>
        <v>#REF!</v>
      </c>
      <c r="F27" s="280"/>
    </row>
    <row r="28" spans="2:6" ht="15" thickTop="1" x14ac:dyDescent="0.3"/>
    <row r="29" spans="2:6" ht="15" thickBot="1" x14ac:dyDescent="0.35">
      <c r="F29" s="280">
        <f>C18</f>
        <v>35.933417433674691</v>
      </c>
    </row>
    <row r="30" spans="2:6" ht="15.6" thickTop="1" thickBot="1" x14ac:dyDescent="0.35">
      <c r="C30" s="47" t="e">
        <f>C24+C27</f>
        <v>#REF!</v>
      </c>
      <c r="F30" s="280"/>
    </row>
    <row r="31" spans="2:6" ht="15" thickTop="1" x14ac:dyDescent="0.3">
      <c r="F31" s="280"/>
    </row>
    <row r="32" spans="2:6" ht="15" thickBot="1" x14ac:dyDescent="0.35">
      <c r="F32" s="280"/>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1" t="s">
        <v>139</v>
      </c>
      <c r="C2" s="282"/>
      <c r="D2" s="282"/>
      <c r="E2" s="282"/>
      <c r="F2" s="282"/>
      <c r="G2" s="282"/>
      <c r="H2" s="282"/>
      <c r="I2" s="282"/>
      <c r="J2" s="282"/>
      <c r="K2" s="282"/>
      <c r="L2" s="282"/>
      <c r="M2" s="282"/>
      <c r="N2" s="282"/>
      <c r="O2" s="282"/>
      <c r="P2" s="283"/>
    </row>
    <row r="3" spans="2:16" x14ac:dyDescent="0.25">
      <c r="B3" s="284"/>
      <c r="C3" s="285"/>
      <c r="D3" s="285"/>
      <c r="E3" s="285"/>
      <c r="F3" s="285"/>
      <c r="G3" s="285"/>
      <c r="H3" s="285"/>
      <c r="I3" s="285"/>
      <c r="J3" s="285"/>
      <c r="K3" s="285"/>
      <c r="L3" s="285"/>
      <c r="M3" s="285"/>
      <c r="N3" s="285"/>
      <c r="O3" s="285"/>
      <c r="P3" s="286"/>
    </row>
    <row r="4" spans="2:16" x14ac:dyDescent="0.25">
      <c r="B4" s="284"/>
      <c r="C4" s="285"/>
      <c r="D4" s="285"/>
      <c r="E4" s="285"/>
      <c r="F4" s="285"/>
      <c r="G4" s="285"/>
      <c r="H4" s="285"/>
      <c r="I4" s="285"/>
      <c r="J4" s="285"/>
      <c r="K4" s="285"/>
      <c r="L4" s="285"/>
      <c r="M4" s="285"/>
      <c r="N4" s="285"/>
      <c r="O4" s="285"/>
      <c r="P4" s="286"/>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2022-06-01T11:06:28Z</cp:lastPrinted>
  <dcterms:created xsi:type="dcterms:W3CDTF">2021-10-14T13:24:34Z</dcterms:created>
  <dcterms:modified xsi:type="dcterms:W3CDTF">2022-06-01T11:14:29Z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