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updateLinks="never" defaultThemeVersion="166925"/>
  <mc:AlternateContent xmlns:mc="http://schemas.openxmlformats.org/markup-compatibility/2006">
    <mc:Choice Requires="x15">
      <x15ac:absPath xmlns:x15ac="http://schemas.microsoft.com/office/spreadsheetml/2010/11/ac" url="C:\Users\ClaireSpiller\OneDrive - Chapman Lily Planning Limited\Documents\Spec sites for BS\2038 Barton Rd\"/>
    </mc:Choice>
  </mc:AlternateContent>
  <xr:revisionPtr revIDLastSave="0" documentId="13_ncr:1_{96653E47-8E5C-49C7-8DCE-9A87BFBB7332}" xr6:coauthVersionLast="47" xr6:coauthVersionMax="47" xr10:uidLastSave="{00000000-0000-0000-0000-000000000000}"/>
  <bookViews>
    <workbookView xWindow="-120" yWindow="-120" windowWidth="20730" windowHeight="11160" firstSheet="2" activeTab="7"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E16"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E10" i="9" s="1"/>
  <c r="I616" i="3"/>
  <c r="E27" i="8" l="1"/>
  <c r="E11" i="9"/>
  <c r="E14" i="9"/>
  <c r="F16" i="10"/>
  <c r="F24" i="10"/>
  <c r="F17" i="10"/>
  <c r="G23" i="7"/>
  <c r="G21" i="7"/>
  <c r="C21" i="7"/>
  <c r="F16" i="7"/>
  <c r="H16" i="7"/>
  <c r="H15" i="7"/>
  <c r="F15" i="7"/>
  <c r="G15" i="7"/>
  <c r="G16" i="7"/>
  <c r="I23" i="7"/>
  <c r="D23" i="7"/>
  <c r="D24" i="7" s="1"/>
  <c r="D33" i="7" l="1"/>
  <c r="D27" i="7"/>
  <c r="J618" i="3"/>
  <c r="J617" i="3"/>
  <c r="E28" i="8" s="1"/>
  <c r="I617" i="3"/>
  <c r="I618" i="3"/>
  <c r="H618" i="3"/>
  <c r="H617" i="3"/>
  <c r="H616" i="3"/>
  <c r="H615" i="3"/>
  <c r="H614" i="3"/>
  <c r="H613" i="3"/>
  <c r="H612" i="3"/>
  <c r="H611" i="3"/>
  <c r="E29" i="8" l="1"/>
  <c r="E15" i="8"/>
  <c r="G15" i="8"/>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<sst xmlns="http://schemas.openxmlformats.org/spreadsheetml/2006/main" count="2521" uniqueCount="343">
  <si>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</si>
  <si>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</si>
  <si>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</si>
  <si>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</si>
  <si>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</si>
  <si>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</si>
  <si>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</si>
  <si>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</si>
  <si>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</si>
  <si>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</si>
  <si>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</si>
  <si>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</si>
  <si>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</si>
  <si>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</si>
  <si>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</si>
  <si>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</si>
  <si>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</si>
  <si>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</si>
  <si>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</si>
  <si>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</si>
  <si>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</si>
  <si>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</si>
  <si>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</si>
  <si>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</si>
  <si>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</si>
  <si>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</si>
  <si>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</si>
  <si>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</si>
  <si>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</si>
  <si>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</si>
  <si>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</si>
  <si>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</si>
  <si>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</si>
  <si>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</si>
  <si>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</si>
  <si>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</si>
  <si>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</si>
  <si>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</si>
  <si>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</si>
  <si>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</si>
  <si>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</si>
  <si>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</si>
  <si>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</si>
  <si>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</si>
  <si>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</si>
  <si>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</si>
  <si>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</si>
  <si>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</si>
  <si>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</si>
  <si>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</si>
  <si>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</si>
  <si>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</si>
  <si>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</si>
  <si>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</si>
  <si>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</si>
  <si>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</si>
  <si>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</si>
  <si>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</si>
  <si>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</si>
  <si>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</si>
  <si>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</si>
  <si>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</si>
  <si>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</si>
  <si>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</si>
  <si>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</si>
  <si>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</si>
  <si>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</si>
  <si>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</si>
  <si>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</si>
  <si>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</si>
  <si>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</si>
  <si>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</si>
  <si>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</si>
  <si>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</si>
  <si>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</si>
  <si>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</si>
  <si>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</si>
  <si>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</si>
  <si>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</si>
  <si>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</si>
  <si>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</si>
  <si>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</si>
  <si>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</si>
  <si>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</si>
  <si>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</si>
  <si>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</si>
  <si>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</si>
  <si>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</si>
  <si>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</si>
  <si>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</si>
  <si>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</si>
  <si>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</si>
  <si>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</si>
  <si>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</si>
  <si>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</si>
  <si>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</si>
  <si>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</si>
  <si>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</si>
  <si>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</si>
  <si>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</si>
  <si>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</si>
  <si>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</si>
  <si>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</si>
  <si>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</si>
  <si>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</si>
  <si>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</si>
  <si>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</si>
  <si>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</si>
  <si>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</si>
  <si>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</si>
  <si>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</si>
  <si>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</si>
  <si>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</si>
  <si>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</si>
  <si>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</si>
  <si>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</si>
  <si>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</si>
  <si>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</si>
  <si>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</si>
  <si>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</si>
  <si>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</si>
  <si>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</si>
  <si>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</si>
  <si>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</si>
  <si>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</si>
  <si>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</si>
  <si>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</si>
  <si>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</si>
  <si>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</si>
  <si>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</si>
  <si>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</si>
  <si>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</si>
  <si>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</si>
  <si>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</si>
  <si>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</si>
  <si>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</si>
  <si>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</si>
  <si>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</si>
  <si>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</si>
  <si>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</si>
  <si>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</si>
  <si>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</si>
  <si>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</si>
  <si>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</si>
  <si>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</si>
  <si>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</si>
  <si>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</si>
  <si>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</si>
  <si>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</si>
  <si>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</si>
  <si>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</si>
  <si>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</si>
  <si>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</si>
  <si>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</si>
  <si>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</si>
  <si>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</si>
  <si>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</si>
  <si>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</si>
  <si>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</si>
  <si>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</si>
  <si>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</si>
  <si>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</si>
  <si>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</si>
  <si>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</si>
  <si>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</si>
  <si>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</si>
  <si>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</si>
  <si>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</si>
  <si>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</si>
  <si>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</si>
  <si>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</si>
  <si>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</si>
  <si>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</si>
  <si>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</si>
  <si>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</si>
  <si>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</si>
  <si>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</si>
  <si>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</si>
  <si>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</si>
  <si>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</si>
  <si>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</si>
  <si>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</si>
  <si>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</si>
  <si>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</si>
  <si>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</si>
  <si>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</si>
  <si>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</si>
  <si>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</si>
  <si>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</si>
  <si>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</si>
  <si>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</si>
  <si>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</si>
  <si>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</si>
  <si>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</si>
  <si>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</si>
  <si>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</si>
  <si>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</si>
  <si>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</si>
  <si>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</si>
  <si>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</si>
  <si>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</si>
  <si>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</si>
  <si>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</si>
  <si>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</si>
  <si>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</si>
  <si>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</si>
  <si>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</si>
  <si>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</si>
  <si>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</si>
  <si>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</si>
  <si>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</si>
  <si>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</si>
  <si>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</si>
  <si>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</si>
  <si>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</si>
  <si>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</si>
  <si>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</si>
  <si>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</si>
  <si>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</si>
  <si>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</si>
  <si>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</si>
  <si>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</si>
  <si>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</si>
  <si>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</si>
  <si>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</si>
  <si>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</si>
  <si>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</si>
  <si>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</si>
  <si>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</si>
  <si>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</si>
  <si>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</si>
  <si>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</si>
  <si>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</si>
  <si>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</si>
  <si>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</si>
  <si>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</si>
  <si>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</si>
  <si>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</si>
  <si>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</si>
  <si>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</si>
  <si>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</si>
  <si>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</si>
  <si>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</si>
  <si>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</si>
  <si>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</si>
  <si>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</si>
  <si>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</si>
  <si>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</si>
  <si>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</si>
  <si>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</si>
  <si>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</si>
  <si>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</si>
  <si>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</si>
  <si>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</si>
  <si>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</si>
  <si>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</si>
  <si>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</si>
  <si>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</si>
  <si>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</si>
  <si>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</si>
  <si>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</si>
  <si>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</si>
  <si>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</si>
  <si>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</si>
  <si>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</si>
  <si>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</si>
  <si>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</si>
  <si>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</si>
  <si>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</si>
  <si>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</si>
  <si>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</si>
  <si>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</si>
  <si>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</si>
  <si>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</si>
  <si>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</si>
  <si>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</si>
  <si>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</si>
  <si>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</si>
  <si>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</si>
  <si>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</si>
  <si>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</si>
  <si>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</si>
  <si>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</si>
  <si>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</si>
  <si>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</si>
  <si>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</si>
  <si>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</si>
  <si>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</si>
  <si>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</si>
  <si>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</si>
  <si>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</si>
  <si>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</si>
  <si>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</si>
  <si>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</si>
  <si>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</si>
  <si>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</si>
  <si>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</si>
  <si>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</si>
  <si>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</si>
  <si>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</si>
  <si>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</si>
  <si>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</si>
  <si>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</si>
  <si>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</si>
  <si>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</si>
  <si>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</si>
  <si>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</si>
  <si>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</si>
  <si>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</si>
  <si>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</si>
  <si>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</si>
  <si>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</si>
  <si>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</si>
  <si>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</si>
  <si>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</si>
  <si>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</si>
  <si>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</si>
  <si>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</si>
  <si>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</si>
  <si>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</si>
  <si>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</si>
  <si>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</si>
  <si>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</si>
  <si>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</si>
  <si>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</si>
  <si>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</si>
  <si>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</si>
  <si>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</si>
  <si>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</si>
  <si>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</si>
  <si>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</si>
  <si>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</si>
  <si>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</si>
  <si>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</si>
  <si>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</si>
  <si>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</si>
  <si>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</si>
  <si>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</si>
  <si>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</si>
  <si>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</si>
  <si>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APP/20/00658</t>
  </si>
  <si>
    <t>Former Electricity Board Site</t>
  </si>
  <si>
    <t>Bartons Road, Havant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</si>
</sst>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47"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topLeftCell="A4"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3" zoomScaleNormal="100" workbookViewId="0">
      <selection activeCell="D88" sqref="D88:H88"/>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44729</v>
      </c>
      <c r="E7" s="259"/>
      <c r="F7" s="259"/>
      <c r="G7" s="259"/>
      <c r="H7" s="259"/>
      <c r="I7" s="259"/>
      <c r="J7" s="259"/>
      <c r="K7" s="259"/>
      <c r="L7" s="135"/>
      <c r="M7" s="131"/>
    </row>
    <row r="8" spans="2:13" ht="35.25" customHeight="1" thickBot="1" x14ac:dyDescent="0.3">
      <c r="B8" s="122"/>
      <c r="C8" s="50" t="s">
        <v>72</v>
      </c>
      <c r="D8" s="260" t="s">
        <v>341</v>
      </c>
      <c r="E8" s="260"/>
      <c r="F8" s="260"/>
      <c r="G8" s="260"/>
      <c r="H8" s="260"/>
      <c r="I8" s="260"/>
      <c r="J8" s="260"/>
      <c r="K8" s="260"/>
      <c r="L8" s="134"/>
    </row>
    <row r="9" spans="2:13" ht="39.75" customHeight="1" thickBot="1" x14ac:dyDescent="0.3">
      <c r="B9" s="122"/>
      <c r="C9" s="138" t="s">
        <v>73</v>
      </c>
      <c r="D9" s="260" t="s">
        <v>340</v>
      </c>
      <c r="E9" s="260"/>
      <c r="F9" s="260"/>
      <c r="G9" s="260"/>
      <c r="H9" s="260"/>
      <c r="I9" s="260"/>
      <c r="J9" s="260"/>
      <c r="K9" s="260"/>
      <c r="L9" s="136"/>
    </row>
    <row r="10" spans="2:13" ht="97.5" customHeight="1" x14ac:dyDescent="0.25">
      <c r="B10" s="122"/>
      <c r="C10" s="139" t="s">
        <v>74</v>
      </c>
      <c r="D10" s="261" t="s">
        <v>342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11"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c r="E9" s="1"/>
      <c r="F9" s="1"/>
      <c r="G9" s="1"/>
      <c r="H9" s="74"/>
      <c r="I9" s="3"/>
      <c r="J9" s="141"/>
      <c r="L9" s="147"/>
    </row>
    <row r="10" spans="1:12" ht="21" customHeight="1" thickBot="1" x14ac:dyDescent="0.4">
      <c r="A10" s="149"/>
      <c r="B10" s="1"/>
      <c r="C10" s="62" t="s">
        <v>78</v>
      </c>
      <c r="D10" s="102">
        <v>1.62</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175</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283.5</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34020</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235758.6</v>
      </c>
      <c r="E27" s="27" t="s">
        <v>92</v>
      </c>
      <c r="F27" s="1"/>
      <c r="G27" s="83"/>
      <c r="H27" s="81"/>
      <c r="I27" s="81"/>
      <c r="J27" s="144"/>
    </row>
    <row r="28" spans="1:14" ht="15.75" hidden="1" thickBot="1" x14ac:dyDescent="0.3">
      <c r="A28" s="149"/>
      <c r="B28" s="1"/>
      <c r="C28" s="26" t="s">
        <v>93</v>
      </c>
      <c r="D28" s="51">
        <f>IFERROR($D$27/1000000,"")</f>
        <v>0.23575860000000001</v>
      </c>
      <c r="E28" s="27" t="s">
        <v>94</v>
      </c>
      <c r="F28" s="1"/>
      <c r="G28" s="83"/>
      <c r="H28" s="87"/>
      <c r="I28" s="84"/>
      <c r="J28" s="144"/>
    </row>
    <row r="29" spans="1:14" ht="15.75" hidden="1" thickBot="1" x14ac:dyDescent="0.3">
      <c r="A29" s="149"/>
      <c r="B29" s="1"/>
      <c r="C29" s="54" t="s">
        <v>95</v>
      </c>
      <c r="D29" s="56">
        <f>IFERROR($D$28*365.25,"")</f>
        <v>86.110828650000002</v>
      </c>
      <c r="E29" s="27" t="s">
        <v>96</v>
      </c>
      <c r="F29" s="1"/>
      <c r="G29" s="83"/>
      <c r="H29" s="88"/>
      <c r="I29" s="84"/>
      <c r="J29" s="144"/>
    </row>
    <row r="30" spans="1:14" hidden="1" x14ac:dyDescent="0.25">
      <c r="A30" s="149"/>
      <c r="B30" s="1"/>
      <c r="C30" s="55" t="s">
        <v>97</v>
      </c>
      <c r="D30" s="57">
        <f>D29</f>
        <v>86.110828650000002</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235758.6</v>
      </c>
      <c r="E33" s="27" t="s">
        <v>99</v>
      </c>
      <c r="F33" s="1"/>
      <c r="G33" s="83"/>
      <c r="H33" s="87"/>
      <c r="I33" s="84"/>
      <c r="J33" s="144"/>
    </row>
    <row r="34" spans="1:10" ht="15.75" hidden="1" thickBot="1" x14ac:dyDescent="0.3">
      <c r="A34" s="149"/>
      <c r="B34" s="1"/>
      <c r="C34" s="58" t="s">
        <v>100</v>
      </c>
      <c r="D34" s="59">
        <f>IFERROR($D$33/1000000,"")</f>
        <v>0.23575860000000001</v>
      </c>
      <c r="E34" s="27" t="s">
        <v>101</v>
      </c>
      <c r="F34" s="1"/>
      <c r="G34" s="83"/>
      <c r="H34" s="87"/>
      <c r="I34" s="84"/>
      <c r="J34" s="144"/>
    </row>
    <row r="35" spans="1:10" ht="15.75" hidden="1" thickBot="1" x14ac:dyDescent="0.3">
      <c r="A35" s="149"/>
      <c r="B35" s="1"/>
      <c r="C35" s="58" t="s">
        <v>102</v>
      </c>
      <c r="D35" s="60">
        <f>IFERROR($D$34*365.25,"")</f>
        <v>86.110828650000002</v>
      </c>
      <c r="E35" s="27" t="s">
        <v>103</v>
      </c>
      <c r="F35" s="1"/>
      <c r="G35" s="83"/>
      <c r="H35" s="88"/>
      <c r="I35" s="84"/>
      <c r="J35" s="144"/>
    </row>
    <row r="36" spans="1:10" x14ac:dyDescent="0.25">
      <c r="A36" s="149"/>
      <c r="B36" s="1"/>
      <c r="C36" s="55" t="s">
        <v>104</v>
      </c>
      <c r="D36" s="57">
        <f>D35</f>
        <v>86.110828650000002</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4" zoomScaleNormal="100" workbookViewId="0">
      <selection activeCell="D15" sqref="D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288</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316</v>
      </c>
      <c r="D15" s="218">
        <v>1.66</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12.789273165167995</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12.789273165167995</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1.66</v>
      </c>
      <c r="E32" s="213">
        <f>SUM(E15:E31)</f>
        <v>12.789273165167995</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abSelected="1" topLeftCell="A9" zoomScaleNormal="10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1.66</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23.979887184689993</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1.66</v>
      </c>
      <c r="E27" s="94">
        <f>SUM(E10:E26)</f>
        <v>23.979887184689993</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86.110828650000002</v>
      </c>
      <c r="E11" s="21"/>
      <c r="F11" s="1"/>
      <c r="G11" s="1"/>
      <c r="H11" s="112"/>
    </row>
    <row r="12" spans="2:12" ht="15.75" hidden="1" thickBot="1" x14ac:dyDescent="0.3">
      <c r="B12" s="122"/>
      <c r="C12" s="64" t="s">
        <v>126</v>
      </c>
      <c r="D12" s="92">
        <f>'Stage 3'!E27-'Stage 2'!E32</f>
        <v>11.190614019521998</v>
      </c>
      <c r="E12" s="21"/>
      <c r="F12" s="1"/>
      <c r="G12" s="1"/>
      <c r="H12" s="112"/>
    </row>
    <row r="13" spans="2:12" ht="15.75" hidden="1" thickBot="1" x14ac:dyDescent="0.3">
      <c r="B13" s="122"/>
      <c r="C13" s="62" t="s">
        <v>127</v>
      </c>
      <c r="D13" s="80">
        <f>D11+D12</f>
        <v>97.301442669522004</v>
      </c>
      <c r="E13" s="18"/>
      <c r="F13" s="1"/>
      <c r="G13" s="1"/>
      <c r="H13" s="112"/>
    </row>
    <row r="14" spans="2:12" hidden="1" x14ac:dyDescent="0.25">
      <c r="B14" s="122"/>
      <c r="C14" s="15" t="s">
        <v>128</v>
      </c>
      <c r="D14" s="91">
        <f>D13*1.2</f>
        <v>116.76173120342639</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1'!$D$14,Lookups!$C$8:$G$88,2,FALSE))&gt;(VLOOKUP('Stage 1'!$D$14,Lookups!$C$8:$G$88,4,FALSE)),(VLOOKUP('Stage 1'!$D$14,Lookups!$C$8:$G$88,3,FALSE))&gt;(VLOOKUP('Stage 1'!$D$14,Lookups!$C$8:$G$88,5,FALSE)))),"Post-2025 Annual Nutrient Budget","Annual Nutrient Budget"),"")</f>
        <v>Annual Nutrient Budget</v>
      </c>
      <c r="D16" s="276"/>
      <c r="E16" s="12"/>
      <c r="F16" s="276" t="str">
        <f>IFERROR(IF(AND('Stage 1'!$D$9&lt;DATE(2025,1,1),OR((VLOOKUP('Stage 1'!$D$14,Lookups!$C$8:$G$88,2,FALSE))&gt;(VLOOKUP('Stage 1'!$D$14,Lookups!$C$8:$G$88,4,FALSE)),(VLOOKUP('Stage 1'!$D$14,Lookups!$C$8:$G$88,3,FALSE))&gt;(VLOOKUP('Stage 1'!$D$14,Lookups!$C$8:$G$88,5,FALSE)))),"Pre-2025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1'!$D$14,Lookups!$C$8:$G$88,2,FALSE))&gt;(VLOOKUP('Stage 1'!$D$14,Lookups!$C$8:$G$88,4,FALSE)),(VLOOKUP('Stage 1'!$D$14,Lookups!$C$8:$G$88,3,FALSE))&gt;(VLOOKUP('Stage 1'!$D$14,Lookups!$C$8:$G$88,5,FALSE)))),"The pre-2025 annual phosphorus load to mitigate is:",""),"")</f>
        <v/>
      </c>
      <c r="G17" s="278"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116.76 kg TN/year</v>
      </c>
      <c r="E23" s="1"/>
      <c r="F23" s="76"/>
      <c r="G23" s="278"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1'!$D$14,Lookups!$C$8:$G$88,2,FALSE))&gt;(VLOOKUP('Stage 1'!$D$14,Lookups!$C$8:$G$88,4,FALSE)),(VLOOKUP('Stage 1'!$D$14,Lookups!$C$8:$G$88,3,FALSE))&gt;(VLOOKUP('Stage 1'!$D$14,Lookups!$C$8:$G$88,5,FALSE)))),"The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86.110828650000002</v>
      </c>
      <c r="D15" s="21"/>
      <c r="E15" s="277" t="s">
        <v>138</v>
      </c>
    </row>
    <row r="16" spans="2:11" ht="16.5" thickTop="1" thickBot="1" x14ac:dyDescent="0.3">
      <c r="B16" s="15" t="s">
        <v>126</v>
      </c>
      <c r="C16" s="22">
        <f>'Stage 3'!E27-'Stage 2'!E32</f>
        <v>11.190614019521998</v>
      </c>
      <c r="D16" s="21"/>
      <c r="E16" s="277"/>
    </row>
    <row r="17" spans="2:6" ht="16.5" thickTop="1" thickBot="1" x14ac:dyDescent="0.3">
      <c r="B17" s="16" t="s">
        <v>127</v>
      </c>
      <c r="C17" s="47">
        <f>C15+C16</f>
        <v>97.301442669522004</v>
      </c>
      <c r="D17" s="18"/>
      <c r="E17" s="277"/>
    </row>
    <row r="18" spans="2:6" ht="15.75" thickTop="1" x14ac:dyDescent="0.25">
      <c r="B18" s="17" t="s">
        <v>128</v>
      </c>
      <c r="C18" s="48">
        <f>C17*1.2</f>
        <v>116.76173120342639</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86.110828650000002</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116.76173120342639</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opLeftCell="A4"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1.5512920268999992</v>
      </c>
      <c r="J616" s="34">
        <f>VLOOKUP('Stage 2'!E11,Lookups!C622:K644,9,FALSE)</f>
        <v>14.445715171499996</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1.1350917269999994</v>
      </c>
      <c r="J617" s="34">
        <f>VLOOKUP('Stage 2'!E11,Lookups!C622:M644,10,FALSE)</f>
        <v>7.7043814247999975</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0.83240059979999959</v>
      </c>
      <c r="J618" s="34">
        <f>VLOOKUP('Stage 2'!E11,Lookups!C622:P644,11,FALSE)</f>
        <v>8.5153689431999986</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Claire Spiller</cp:lastModifiedBy>
  <cp:revision/>
  <dcterms:created xsi:type="dcterms:W3CDTF">2021-10-14T13:24:34Z</dcterms:created>
  <dcterms:modified xsi:type="dcterms:W3CDTF">2022-07-22T16:08:33Z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